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789" activeTab="0"/>
  </bookViews>
  <sheets>
    <sheet name="Resumen general" sheetId="1" r:id="rId1"/>
    <sheet name="Inf. Mansual Por Ditrib." sheetId="2" r:id="rId2"/>
    <sheet name="Por analistasEdeeste" sheetId="3" r:id="rId3"/>
    <sheet name="Por analistasEdenorte" sheetId="4" r:id="rId4"/>
    <sheet name="Por analistas Edesur" sheetId="5" r:id="rId5"/>
  </sheets>
  <definedNames/>
  <calcPr fullCalcOnLoad="1"/>
</workbook>
</file>

<file path=xl/comments1.xml><?xml version="1.0" encoding="utf-8"?>
<comments xmlns="http://schemas.openxmlformats.org/spreadsheetml/2006/main">
  <authors>
    <author>Dolca Herrera</author>
  </authors>
  <commentList>
    <comment ref="E4" authorId="0">
      <text>
        <r>
          <rPr>
            <b/>
            <sz val="9"/>
            <rFont val="Tahoma"/>
            <family val="2"/>
          </rPr>
          <t>Dolca Herrera:</t>
        </r>
        <r>
          <rPr>
            <sz val="9"/>
            <rFont val="Tahoma"/>
            <family val="2"/>
          </rPr>
          <t xml:space="preserve">
Reclamaciones recibidas del mes actual mas las pendientes del mes anterior</t>
        </r>
      </text>
    </comment>
  </commentList>
</comments>
</file>

<file path=xl/sharedStrings.xml><?xml version="1.0" encoding="utf-8"?>
<sst xmlns="http://schemas.openxmlformats.org/spreadsheetml/2006/main" count="247" uniqueCount="95">
  <si>
    <t>Jlora</t>
  </si>
  <si>
    <t>Lfranco</t>
  </si>
  <si>
    <t>Lmoreta</t>
  </si>
  <si>
    <t>Mbello</t>
  </si>
  <si>
    <t>Mheredia</t>
  </si>
  <si>
    <t>Cerradas</t>
  </si>
  <si>
    <t>Total Cerradas</t>
  </si>
  <si>
    <t>Analistas</t>
  </si>
  <si>
    <t>Observaciones:</t>
  </si>
  <si>
    <t>Dirección Protección al Consumidor PROTECOM</t>
  </si>
  <si>
    <t>Marzo</t>
  </si>
  <si>
    <t>Meses</t>
  </si>
  <si>
    <t>Enero</t>
  </si>
  <si>
    <t>Febrero</t>
  </si>
  <si>
    <t>EDEESTE</t>
  </si>
  <si>
    <t>EDENORTE</t>
  </si>
  <si>
    <t>EDESUR</t>
  </si>
  <si>
    <t xml:space="preserve"> Recibidas</t>
  </si>
  <si>
    <t>JHRODRIGUEZ</t>
  </si>
  <si>
    <t>MCALDERON</t>
  </si>
  <si>
    <t>MSANCHEZ</t>
  </si>
  <si>
    <t>Total</t>
  </si>
  <si>
    <t>Clanda</t>
  </si>
  <si>
    <t>JoRodriguez</t>
  </si>
  <si>
    <t>Mherasme</t>
  </si>
  <si>
    <t>Nhernandez</t>
  </si>
  <si>
    <t>Nmelo</t>
  </si>
  <si>
    <t>Monto Acreditado en RD$</t>
  </si>
  <si>
    <t>Abril</t>
  </si>
  <si>
    <t>Procedentes</t>
  </si>
  <si>
    <t>Improcedentes</t>
  </si>
  <si>
    <t>Cflete</t>
  </si>
  <si>
    <t>Dirección Protecom y Peritajes</t>
  </si>
  <si>
    <t xml:space="preserve">Enero </t>
  </si>
  <si>
    <t>Total deciciones</t>
  </si>
  <si>
    <t>Recibidas</t>
  </si>
  <si>
    <t>Mayo</t>
  </si>
  <si>
    <t>Junio</t>
  </si>
  <si>
    <t>Total Decisiones</t>
  </si>
  <si>
    <t>Julio</t>
  </si>
  <si>
    <t>DDíaz</t>
  </si>
  <si>
    <t>GC</t>
  </si>
  <si>
    <t>Agosto</t>
  </si>
  <si>
    <t>Septiembre</t>
  </si>
  <si>
    <t>Octubre</t>
  </si>
  <si>
    <t>Reporte Análisis Reclamaciones por Distribuidora</t>
  </si>
  <si>
    <t>Noviembre</t>
  </si>
  <si>
    <t>Diciembre</t>
  </si>
  <si>
    <t>ENERO</t>
  </si>
  <si>
    <t>CEPM</t>
  </si>
  <si>
    <t>FEBRERO</t>
  </si>
  <si>
    <t>Nferreira</t>
  </si>
  <si>
    <t>Emota</t>
  </si>
  <si>
    <t>Mperallon</t>
  </si>
  <si>
    <t>Aamador</t>
  </si>
  <si>
    <t>Kmacdonald</t>
  </si>
  <si>
    <t>LUZ Y FUERZA</t>
  </si>
  <si>
    <t>MARZO</t>
  </si>
  <si>
    <t>ABRIL</t>
  </si>
  <si>
    <t>MAYO</t>
  </si>
  <si>
    <t>Total Reclamaciones</t>
  </si>
  <si>
    <t>Fperalta</t>
  </si>
  <si>
    <t>JUNIO</t>
  </si>
  <si>
    <t>RD$ Ordenados Acreditar</t>
  </si>
  <si>
    <t>Nfernando</t>
  </si>
  <si>
    <t>Bramirez</t>
  </si>
  <si>
    <t>JULIO</t>
  </si>
  <si>
    <t>Yrodriguez</t>
  </si>
  <si>
    <t>agosto</t>
  </si>
  <si>
    <t>Cant. Analistas</t>
  </si>
  <si>
    <t>Prom. por Analistas</t>
  </si>
  <si>
    <t>Atraso</t>
  </si>
  <si>
    <t>Total Reclamaciones = Recibidas + Atraso</t>
  </si>
  <si>
    <t>Mvalerio</t>
  </si>
  <si>
    <t>Aramirez</t>
  </si>
  <si>
    <t>Ddiaz</t>
  </si>
  <si>
    <t>Jopérez</t>
  </si>
  <si>
    <t>Total General Enero-Dic.</t>
  </si>
  <si>
    <t>EYCabrera</t>
  </si>
  <si>
    <t>Acespedez</t>
  </si>
  <si>
    <t>Cubriendo Licencia</t>
  </si>
  <si>
    <t>Informe Mensual General Resumido, Junio`16</t>
  </si>
  <si>
    <t>Acespedes</t>
  </si>
  <si>
    <t>Luis Franco</t>
  </si>
  <si>
    <t>Vacaciones, 10 dias</t>
  </si>
  <si>
    <t>Vacaciones, 7 dias</t>
  </si>
  <si>
    <t>Esther Cabrera</t>
  </si>
  <si>
    <t>Licencia médica, 4 dias</t>
  </si>
  <si>
    <t>Jhrodriguez</t>
  </si>
  <si>
    <t>Vacaciones desde 20 junio</t>
  </si>
  <si>
    <t>Katia Macdonald</t>
  </si>
  <si>
    <t>Colaboración Cierre</t>
  </si>
  <si>
    <t>Colabooración Cierre</t>
  </si>
  <si>
    <t>Colaboración cierre</t>
  </si>
  <si>
    <t>En Proceso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</si>
</sst>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10409]#,##0;\(#,##0\)"/>
    <numFmt numFmtId="174" formatCode="_(* #,##0.000_);_(* \(#,##0.000\);_(* &quot;-&quot;??_);_(@_)"/>
    <numFmt numFmtId="175" formatCode="[$-409]dddd\,\ mmmm\ dd\,\ yyyy"/>
    <numFmt numFmtId="176" formatCode="[$-409]h:mm:ss\ AM/PM"/>
    <numFmt numFmtId="177" formatCode="0.0"/>
    <numFmt numFmtId="178" formatCode="_(* #,##0.0_);_(* \(#,##0.0\);_(* &quot;-&quot;??_);_(@_)"/>
    <numFmt numFmtId="179" formatCode="_-* #,##0.0\ _€_-;\-* #,##0.0\ _€_-;_-* &quot;-&quot;??\ _€_-;_-@_-"/>
    <numFmt numFmtId="180" formatCode="_-* #,##0\ _€_-;\-* #,##0\ _€_-;_-* &quot;-&quot;??\ _€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_(* #.##0_);_(* \(#.##0\);_(* &quot;-&quot;??_);_(@_)"/>
    <numFmt numFmtId="189" formatCode="[$-10409]#.##0;\(#.##0\)"/>
    <numFmt numFmtId="190" formatCode="0.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Rounded MT Bold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sz val="16"/>
      <color indexed="8"/>
      <name val="Baskerville Old Face"/>
      <family val="1"/>
    </font>
    <font>
      <sz val="14"/>
      <color indexed="8"/>
      <name val="Baskerville Old Fa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7.55"/>
      <color indexed="63"/>
      <name val="Calibri"/>
      <family val="0"/>
    </font>
    <font>
      <sz val="16"/>
      <color indexed="63"/>
      <name val="Trebuchet M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 Rounded MT Bold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Baskerville Old Face"/>
      <family val="1"/>
    </font>
    <font>
      <sz val="14"/>
      <color theme="1"/>
      <name val="Baskerville Old Face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/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/>
      <top/>
      <bottom style="thin">
        <color rgb="FFD3D3D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172" fontId="0" fillId="0" borderId="0" xfId="47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47" applyNumberFormat="1" applyFont="1" applyBorder="1" applyAlignment="1">
      <alignment/>
    </xf>
    <xf numFmtId="172" fontId="0" fillId="0" borderId="10" xfId="47" applyNumberFormat="1" applyFont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vertical="center"/>
    </xf>
    <xf numFmtId="0" fontId="2" fillId="0" borderId="11" xfId="52" applyNumberFormat="1" applyFont="1" applyFill="1" applyBorder="1" applyAlignment="1">
      <alignment vertical="top" wrapText="1"/>
      <protection/>
    </xf>
    <xf numFmtId="173" fontId="53" fillId="0" borderId="12" xfId="52" applyNumberFormat="1" applyFont="1" applyFill="1" applyBorder="1" applyAlignment="1">
      <alignment vertical="top" wrapText="1" readingOrder="1"/>
      <protection/>
    </xf>
    <xf numFmtId="0" fontId="2" fillId="0" borderId="13" xfId="52" applyNumberFormat="1" applyFont="1" applyFill="1" applyBorder="1" applyAlignment="1">
      <alignment vertical="top" wrapText="1"/>
      <protection/>
    </xf>
    <xf numFmtId="0" fontId="2" fillId="0" borderId="14" xfId="52" applyNumberFormat="1" applyFont="1" applyFill="1" applyBorder="1" applyAlignment="1">
      <alignment vertical="top" wrapText="1"/>
      <protection/>
    </xf>
    <xf numFmtId="0" fontId="2" fillId="0" borderId="15" xfId="52" applyNumberFormat="1" applyFont="1" applyFill="1" applyBorder="1" applyAlignment="1">
      <alignment vertical="top" wrapText="1"/>
      <protection/>
    </xf>
    <xf numFmtId="173" fontId="54" fillId="0" borderId="12" xfId="52" applyNumberFormat="1" applyFont="1" applyFill="1" applyBorder="1" applyAlignment="1">
      <alignment vertical="top" wrapText="1" readingOrder="1"/>
      <protection/>
    </xf>
    <xf numFmtId="0" fontId="3" fillId="0" borderId="12" xfId="52" applyNumberFormat="1" applyFont="1" applyFill="1" applyBorder="1" applyAlignment="1">
      <alignment vertical="top" wrapText="1" readingOrder="1"/>
      <protection/>
    </xf>
    <xf numFmtId="171" fontId="0" fillId="0" borderId="10" xfId="47" applyFont="1" applyBorder="1" applyAlignment="1">
      <alignment horizontal="center"/>
    </xf>
    <xf numFmtId="171" fontId="0" fillId="0" borderId="10" xfId="47" applyNumberFormat="1" applyFont="1" applyBorder="1" applyAlignment="1">
      <alignment horizontal="center"/>
    </xf>
    <xf numFmtId="0" fontId="55" fillId="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172" fontId="0" fillId="0" borderId="10" xfId="47" applyNumberFormat="1" applyFont="1" applyFill="1" applyBorder="1" applyAlignment="1">
      <alignment/>
    </xf>
    <xf numFmtId="0" fontId="3" fillId="33" borderId="12" xfId="52" applyNumberFormat="1" applyFont="1" applyFill="1" applyBorder="1" applyAlignment="1">
      <alignment vertical="top" wrapText="1" readingOrder="1"/>
      <protection/>
    </xf>
    <xf numFmtId="173" fontId="53" fillId="33" borderId="12" xfId="52" applyNumberFormat="1" applyFont="1" applyFill="1" applyBorder="1" applyAlignment="1">
      <alignment vertical="top" wrapText="1" readingOrder="1"/>
      <protection/>
    </xf>
    <xf numFmtId="0" fontId="56" fillId="0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56" fillId="33" borderId="0" xfId="0" applyFont="1" applyFill="1" applyBorder="1" applyAlignment="1">
      <alignment horizontal="center" wrapText="1"/>
    </xf>
    <xf numFmtId="172" fontId="0" fillId="33" borderId="0" xfId="0" applyNumberFormat="1" applyFill="1" applyBorder="1" applyAlignment="1">
      <alignment/>
    </xf>
    <xf numFmtId="0" fontId="52" fillId="35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47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2" fillId="34" borderId="0" xfId="0" applyFont="1" applyFill="1" applyAlignment="1">
      <alignment/>
    </xf>
    <xf numFmtId="172" fontId="52" fillId="34" borderId="0" xfId="47" applyNumberFormat="1" applyFont="1" applyFill="1" applyAlignment="1">
      <alignment/>
    </xf>
    <xf numFmtId="0" fontId="3" fillId="34" borderId="12" xfId="52" applyNumberFormat="1" applyFont="1" applyFill="1" applyBorder="1" applyAlignment="1">
      <alignment vertical="top" wrapText="1" readingOrder="1"/>
      <protection/>
    </xf>
    <xf numFmtId="173" fontId="54" fillId="34" borderId="12" xfId="52" applyNumberFormat="1" applyFont="1" applyFill="1" applyBorder="1" applyAlignment="1">
      <alignment vertical="top" wrapText="1" readingOrder="1"/>
      <protection/>
    </xf>
    <xf numFmtId="9" fontId="0" fillId="0" borderId="0" xfId="54" applyFont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6" fillId="35" borderId="10" xfId="0" applyFont="1" applyFill="1" applyBorder="1" applyAlignment="1">
      <alignment/>
    </xf>
    <xf numFmtId="172" fontId="26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47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72" fontId="0" fillId="33" borderId="10" xfId="47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171" fontId="0" fillId="33" borderId="10" xfId="47" applyFont="1" applyFill="1" applyBorder="1" applyAlignment="1">
      <alignment horizontal="center"/>
    </xf>
    <xf numFmtId="0" fontId="0" fillId="35" borderId="0" xfId="0" applyFill="1" applyAlignment="1">
      <alignment/>
    </xf>
    <xf numFmtId="172" fontId="0" fillId="33" borderId="10" xfId="0" applyNumberFormat="1" applyFill="1" applyBorder="1" applyAlignment="1">
      <alignment horizontal="center"/>
    </xf>
    <xf numFmtId="174" fontId="0" fillId="33" borderId="0" xfId="0" applyNumberFormat="1" applyFill="1" applyBorder="1" applyAlignment="1">
      <alignment/>
    </xf>
    <xf numFmtId="171" fontId="0" fillId="0" borderId="0" xfId="0" applyNumberFormat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3" borderId="11" xfId="52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 horizontal="center"/>
    </xf>
    <xf numFmtId="0" fontId="52" fillId="35" borderId="10" xfId="0" applyFont="1" applyFill="1" applyBorder="1" applyAlignment="1">
      <alignment/>
    </xf>
    <xf numFmtId="172" fontId="52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72" fontId="52" fillId="35" borderId="10" xfId="47" applyNumberFormat="1" applyFont="1" applyFill="1" applyBorder="1" applyAlignment="1">
      <alignment/>
    </xf>
    <xf numFmtId="172" fontId="52" fillId="35" borderId="10" xfId="47" applyNumberFormat="1" applyFont="1" applyFill="1" applyBorder="1" applyAlignment="1">
      <alignment horizontal="center"/>
    </xf>
    <xf numFmtId="180" fontId="52" fillId="35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 wrapText="1"/>
    </xf>
    <xf numFmtId="171" fontId="0" fillId="33" borderId="10" xfId="47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71" fontId="0" fillId="0" borderId="0" xfId="47" applyFont="1" applyAlignment="1">
      <alignment/>
    </xf>
    <xf numFmtId="172" fontId="0" fillId="0" borderId="0" xfId="47" applyNumberFormat="1" applyFont="1" applyAlignment="1">
      <alignment/>
    </xf>
    <xf numFmtId="172" fontId="0" fillId="35" borderId="10" xfId="47" applyNumberFormat="1" applyFont="1" applyFill="1" applyBorder="1" applyAlignment="1">
      <alignment horizontal="center"/>
    </xf>
    <xf numFmtId="43" fontId="0" fillId="35" borderId="10" xfId="0" applyNumberForma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6" xfId="0" applyFill="1" applyBorder="1" applyAlignment="1">
      <alignment/>
    </xf>
    <xf numFmtId="171" fontId="0" fillId="0" borderId="10" xfId="0" applyNumberFormat="1" applyBorder="1" applyAlignment="1">
      <alignment horizontal="center"/>
    </xf>
    <xf numFmtId="171" fontId="0" fillId="0" borderId="0" xfId="47" applyFont="1" applyAlignment="1">
      <alignment/>
    </xf>
    <xf numFmtId="0" fontId="55" fillId="6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 wrapText="1"/>
    </xf>
    <xf numFmtId="1" fontId="52" fillId="0" borderId="10" xfId="0" applyNumberFormat="1" applyFont="1" applyBorder="1" applyAlignment="1">
      <alignment horizontal="center"/>
    </xf>
    <xf numFmtId="172" fontId="0" fillId="0" borderId="17" xfId="47" applyNumberFormat="1" applyFont="1" applyBorder="1" applyAlignment="1">
      <alignment/>
    </xf>
    <xf numFmtId="172" fontId="0" fillId="0" borderId="17" xfId="47" applyNumberFormat="1" applyFont="1" applyFill="1" applyBorder="1" applyAlignment="1">
      <alignment/>
    </xf>
    <xf numFmtId="172" fontId="0" fillId="0" borderId="17" xfId="47" applyNumberFormat="1" applyFont="1" applyFill="1" applyBorder="1" applyAlignment="1">
      <alignment/>
    </xf>
    <xf numFmtId="0" fontId="52" fillId="16" borderId="0" xfId="0" applyFont="1" applyFill="1" applyAlignment="1">
      <alignment/>
    </xf>
    <xf numFmtId="0" fontId="52" fillId="33" borderId="0" xfId="0" applyFont="1" applyFill="1" applyAlignment="1">
      <alignment/>
    </xf>
    <xf numFmtId="172" fontId="52" fillId="33" borderId="0" xfId="47" applyNumberFormat="1" applyFont="1" applyFill="1" applyAlignment="1">
      <alignment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172" fontId="0" fillId="35" borderId="10" xfId="47" applyNumberFormat="1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172" fontId="0" fillId="0" borderId="10" xfId="47" applyNumberFormat="1" applyFont="1" applyBorder="1" applyAlignment="1">
      <alignment horizontal="right"/>
    </xf>
    <xf numFmtId="9" fontId="57" fillId="0" borderId="0" xfId="54" applyFont="1" applyAlignment="1">
      <alignment horizontal="center"/>
    </xf>
    <xf numFmtId="0" fontId="0" fillId="33" borderId="0" xfId="0" applyFill="1" applyBorder="1" applyAlignment="1">
      <alignment horizontal="center"/>
    </xf>
    <xf numFmtId="1" fontId="52" fillId="33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172" fontId="52" fillId="0" borderId="0" xfId="47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wrapText="1"/>
    </xf>
    <xf numFmtId="171" fontId="0" fillId="0" borderId="10" xfId="47" applyNumberFormat="1" applyFont="1" applyBorder="1" applyAlignment="1">
      <alignment/>
    </xf>
    <xf numFmtId="171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171" fontId="0" fillId="0" borderId="10" xfId="47" applyFont="1" applyBorder="1" applyAlignment="1">
      <alignment/>
    </xf>
    <xf numFmtId="0" fontId="0" fillId="35" borderId="10" xfId="0" applyFill="1" applyBorder="1" applyAlignment="1">
      <alignment vertic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171" fontId="0" fillId="33" borderId="10" xfId="47" applyFont="1" applyFill="1" applyBorder="1" applyAlignment="1">
      <alignment/>
    </xf>
    <xf numFmtId="171" fontId="0" fillId="0" borderId="10" xfId="47" applyFont="1" applyFill="1" applyBorder="1" applyAlignment="1">
      <alignment/>
    </xf>
    <xf numFmtId="0" fontId="0" fillId="0" borderId="0" xfId="0" applyAlignment="1">
      <alignment/>
    </xf>
    <xf numFmtId="0" fontId="0" fillId="8" borderId="10" xfId="0" applyFill="1" applyBorder="1" applyAlignment="1">
      <alignment vertical="center" wrapText="1"/>
    </xf>
    <xf numFmtId="172" fontId="0" fillId="0" borderId="10" xfId="47" applyNumberFormat="1" applyFont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72" fontId="26" fillId="35" borderId="10" xfId="0" applyNumberFormat="1" applyFont="1" applyFill="1" applyBorder="1" applyAlignment="1">
      <alignment/>
    </xf>
    <xf numFmtId="172" fontId="52" fillId="35" borderId="10" xfId="0" applyNumberFormat="1" applyFont="1" applyFill="1" applyBorder="1" applyAlignment="1">
      <alignment/>
    </xf>
    <xf numFmtId="172" fontId="52" fillId="35" borderId="10" xfId="47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47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2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Junio'16</a:t>
            </a:r>
          </a:p>
        </c:rich>
      </c:tx>
      <c:layout>
        <c:manualLayout>
          <c:xMode val="factor"/>
          <c:yMode val="factor"/>
          <c:x val="-0.048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9675"/>
          <c:w val="0.987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'Resumen general'!$B$5</c:f>
              <c:strCache>
                <c:ptCount val="1"/>
                <c:pt idx="0">
                  <c:v>Enero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general'!$C$4:$I$4</c:f>
              <c:strCache/>
            </c:strRef>
          </c:cat>
          <c:val>
            <c:numRef>
              <c:f>'Resumen general'!$C$5:$I$5</c:f>
              <c:numCache/>
            </c:numRef>
          </c:val>
          <c:smooth val="0"/>
        </c:ser>
        <c:ser>
          <c:idx val="1"/>
          <c:order val="1"/>
          <c:tx>
            <c:strRef>
              <c:f>'Resumen general'!$B$6</c:f>
              <c:strCache>
                <c:ptCount val="1"/>
                <c:pt idx="0">
                  <c:v>Febrero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general'!$C$4:$I$4</c:f>
              <c:strCache/>
            </c:strRef>
          </c:cat>
          <c:val>
            <c:numRef>
              <c:f>'Resumen general'!$C$6:$I$6</c:f>
              <c:numCache/>
            </c:numRef>
          </c:val>
          <c:smooth val="0"/>
        </c:ser>
        <c:ser>
          <c:idx val="2"/>
          <c:order val="2"/>
          <c:tx>
            <c:strRef>
              <c:f>'Resumen general'!$B$7</c:f>
              <c:strCache>
                <c:ptCount val="1"/>
                <c:pt idx="0">
                  <c:v>Marzo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'Resumen general'!$C$4:$I$4</c:f>
              <c:strCache/>
            </c:strRef>
          </c:cat>
          <c:val>
            <c:numRef>
              <c:f>'Resumen general'!$C$7:$I$7</c:f>
              <c:numCache/>
            </c:numRef>
          </c:val>
          <c:smooth val="0"/>
        </c:ser>
        <c:ser>
          <c:idx val="3"/>
          <c:order val="3"/>
          <c:tx>
            <c:strRef>
              <c:f>'Resumen general'!$B$8</c:f>
              <c:strCache>
                <c:ptCount val="1"/>
                <c:pt idx="0">
                  <c:v>Abril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general'!$C$4:$I$4</c:f>
              <c:strCache/>
            </c:strRef>
          </c:cat>
          <c:val>
            <c:numRef>
              <c:f>'Resumen general'!$C$8:$I$8</c:f>
              <c:numCache/>
            </c:numRef>
          </c:val>
          <c:smooth val="0"/>
        </c:ser>
        <c:ser>
          <c:idx val="4"/>
          <c:order val="4"/>
          <c:tx>
            <c:strRef>
              <c:f>'Resumen general'!$B$9</c:f>
              <c:strCache>
                <c:ptCount val="1"/>
                <c:pt idx="0">
                  <c:v>Mayo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'Resumen general'!$C$4:$I$4</c:f>
              <c:strCache/>
            </c:strRef>
          </c:cat>
          <c:val>
            <c:numRef>
              <c:f>'Resumen general'!$C$9:$I$9</c:f>
              <c:numCache/>
            </c:numRef>
          </c:val>
          <c:smooth val="0"/>
        </c:ser>
        <c:ser>
          <c:idx val="5"/>
          <c:order val="5"/>
          <c:tx>
            <c:strRef>
              <c:f>'Resumen general'!$B$10</c:f>
              <c:strCache>
                <c:ptCount val="1"/>
                <c:pt idx="0">
                  <c:v>Junio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'Resumen general'!$C$4:$I$4</c:f>
              <c:strCache/>
            </c:strRef>
          </c:cat>
          <c:val>
            <c:numRef>
              <c:f>'Resumen general'!$C$10:$I$10</c:f>
              <c:numCache/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  <c:max val="7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92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25"/>
          <c:y val="0.92475"/>
          <c:w val="0.426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EdeEste
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125"/>
          <c:w val="0.9872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v>'Inf. Mansual Por Ditrib.'!#REF!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Ditrib.'!#REF!</c:f>
            </c:numRef>
          </c:val>
        </c:ser>
        <c:ser>
          <c:idx val="1"/>
          <c:order val="1"/>
          <c:tx>
            <c:strRef>
              <c:f>'Inf. Mansual Por Ditrib.'!$B$7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Ditrib.'!$C$7:$G$7</c:f>
              <c:numCache/>
            </c:numRef>
          </c:val>
        </c:ser>
        <c:ser>
          <c:idx val="2"/>
          <c:order val="2"/>
          <c:tx>
            <c:strRef>
              <c:f>'Inf. Mansual Por Ditrib.'!$B$8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Ditrib.'!$C$8:$G$8</c:f>
              <c:numCache/>
            </c:numRef>
          </c:val>
        </c:ser>
        <c:ser>
          <c:idx val="3"/>
          <c:order val="3"/>
          <c:tx>
            <c:strRef>
              <c:f>'Inf. Mansual Por Ditrib.'!$B$9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Ditrib.'!$C$9:$G$9</c:f>
            </c:numRef>
          </c:val>
        </c:ser>
        <c:ser>
          <c:idx val="4"/>
          <c:order val="4"/>
          <c:tx>
            <c:strRef>
              <c:f>'Inf. Mansual Por Ditrib.'!$B$10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Ditrib.'!$C$10:$G$10</c:f>
            </c:numRef>
          </c:val>
        </c:ser>
        <c:ser>
          <c:idx val="5"/>
          <c:order val="5"/>
          <c:tx>
            <c:strRef>
              <c:f>'Inf. Mansual Por Ditrib.'!$B$11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Ditrib.'!$C$11:$G$11</c:f>
            </c:numRef>
          </c:val>
        </c:ser>
        <c:ser>
          <c:idx val="6"/>
          <c:order val="6"/>
          <c:tx>
            <c:strRef>
              <c:f>'Inf. Mansual Por Ditrib.'!$B$12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Ditrib.'!$C$12:$G$12</c:f>
            </c:numRef>
          </c:val>
        </c:ser>
        <c:ser>
          <c:idx val="7"/>
          <c:order val="7"/>
          <c:tx>
            <c:strRef>
              <c:f>'Inf. Mansual Por Ditrib.'!$B$13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Ditrib.'!$C$13:$G$13</c:f>
            </c:numRef>
          </c:val>
        </c:ser>
        <c:ser>
          <c:idx val="8"/>
          <c:order val="8"/>
          <c:tx>
            <c:strRef>
              <c:f>'Inf. Mansual Por Ditrib.'!$B$14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Ditrib.'!$C$14:$G$14</c:f>
            </c:numRef>
          </c:val>
        </c:ser>
        <c:ser>
          <c:idx val="9"/>
          <c:order val="9"/>
          <c:tx>
            <c:strRef>
              <c:f>'Inf. Mansual Por Ditrib.'!$B$15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Ditrib.'!$C$15:$G$15</c:f>
            </c:numRef>
          </c:val>
        </c:ser>
        <c:ser>
          <c:idx val="10"/>
          <c:order val="10"/>
          <c:tx>
            <c:strRef>
              <c:f>'Inf. Mansual Por Ditrib.'!$B$16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Ditrib.'!$C$16:$G$16</c:f>
            </c:numRef>
          </c:val>
        </c:ser>
        <c:ser>
          <c:idx val="11"/>
          <c:order val="11"/>
          <c:tx>
            <c:strRef>
              <c:f>'Inf. Mansual Por Ditrib.'!$B$17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Ditrib.'!$C$17:$G$17</c:f>
            </c:numRef>
          </c:val>
        </c:ser>
        <c:ser>
          <c:idx val="12"/>
          <c:order val="12"/>
          <c:tx>
            <c:strRef>
              <c:f>'Inf. Mansual Por Ditrib.'!$B$18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Ditrib.'!$C$18:$G$18</c:f>
            </c:numRef>
          </c:val>
        </c:ser>
        <c:ser>
          <c:idx val="13"/>
          <c:order val="13"/>
          <c:tx>
            <c:strRef>
              <c:f>'Inf. Mansual Por Ditrib.'!$B$19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Ditrib.'!$C$19:$G$19</c:f>
              <c:numCache/>
            </c:numRef>
          </c:val>
        </c:ser>
        <c:ser>
          <c:idx val="14"/>
          <c:order val="14"/>
          <c:tx>
            <c:strRef>
              <c:f>'Inf. Mansual Por Ditrib.'!$B$20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Ditrib.'!$C$20:$G$20</c:f>
              <c:numCache/>
            </c:numRef>
          </c:val>
        </c:ser>
        <c:ser>
          <c:idx val="15"/>
          <c:order val="15"/>
          <c:tx>
            <c:strRef>
              <c:f>'Inf. Mansual Por Ditrib.'!$B$21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Ditrib.'!$C$21:$G$21</c:f>
              <c:numCache/>
            </c:numRef>
          </c:val>
        </c:ser>
        <c:ser>
          <c:idx val="16"/>
          <c:order val="16"/>
          <c:tx>
            <c:strRef>
              <c:f>'Inf. Mansual Por Ditrib.'!$B$22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Ditrib.'!$C$22:$G$22</c:f>
              <c:numCache/>
            </c:numRef>
          </c:val>
        </c:ser>
        <c:ser>
          <c:idx val="17"/>
          <c:order val="17"/>
          <c:tx>
            <c:strRef>
              <c:f>'Inf. Mansual Por Ditrib.'!$B$23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Ditrib.'!$C$23:$G$23</c:f>
              <c:numCache/>
            </c:numRef>
          </c:val>
        </c:ser>
        <c:ser>
          <c:idx val="18"/>
          <c:order val="18"/>
          <c:tx>
            <c:strRef>
              <c:f>'Inf. Mansual Por Ditrib.'!$B$24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Ditrib.'!$C$24:$G$24</c:f>
              <c:numCache/>
            </c:numRef>
          </c:val>
        </c:ser>
        <c:ser>
          <c:idx val="19"/>
          <c:order val="19"/>
          <c:tx>
            <c:strRef>
              <c:f>'Inf. Mansual Por Ditrib.'!$B$25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Ditrib.'!$C$25:$G$25</c:f>
              <c:numCache/>
            </c:numRef>
          </c:val>
        </c:ser>
        <c:ser>
          <c:idx val="20"/>
          <c:order val="20"/>
          <c:tx>
            <c:strRef>
              <c:f>'Inf. Mansual Por Ditrib.'!$B$26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Ditrib.'!$C$26:$G$26</c:f>
              <c:numCache/>
            </c:numRef>
          </c:val>
        </c:ser>
        <c:overlap val="-27"/>
        <c:gapWidth val="219"/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323128"/>
        <c:crossesAt val="0"/>
        <c:auto val="1"/>
        <c:lblOffset val="100"/>
        <c:tickLblSkip val="1"/>
        <c:noMultiLvlLbl val="0"/>
      </c:catAx>
      <c:valAx>
        <c:axId val="3132312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132671"/>
        <c:crossesAt val="1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18"/>
          <c:y val="0.88975"/>
          <c:w val="0.982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EdeNorte</a:t>
            </a:r>
          </a:p>
        </c:rich>
      </c:tx>
      <c:layout>
        <c:manualLayout>
          <c:xMode val="factor"/>
          <c:yMode val="factor"/>
          <c:x val="0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555"/>
          <c:w val="0.97875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'Inf. Mansual Por Ditrib.'!$B$31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Ditrib.'!$C$31:$G$31</c:f>
              <c:numCache/>
            </c:numRef>
          </c:val>
        </c:ser>
        <c:ser>
          <c:idx val="2"/>
          <c:order val="1"/>
          <c:tx>
            <c:strRef>
              <c:f>'Inf. Mansual Por Ditrib.'!$B$32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Ditrib.'!$C$32:$G$32</c:f>
              <c:numCache/>
            </c:numRef>
          </c:val>
        </c:ser>
        <c:ser>
          <c:idx val="3"/>
          <c:order val="2"/>
          <c:tx>
            <c:strRef>
              <c:f>'Inf. Mansual Por Ditrib.'!$B$33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Ditrib.'!$C$33:$G$33</c:f>
            </c:numRef>
          </c:val>
        </c:ser>
        <c:ser>
          <c:idx val="4"/>
          <c:order val="3"/>
          <c:tx>
            <c:strRef>
              <c:f>'Inf. Mansual Por Ditrib.'!$B$34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Ditrib.'!$C$34:$G$34</c:f>
            </c:numRef>
          </c:val>
        </c:ser>
        <c:ser>
          <c:idx val="5"/>
          <c:order val="4"/>
          <c:tx>
            <c:strRef>
              <c:f>'Inf. Mansual Por Ditrib.'!$B$35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Ditrib.'!$C$35:$G$35</c:f>
            </c:numRef>
          </c:val>
        </c:ser>
        <c:ser>
          <c:idx val="6"/>
          <c:order val="5"/>
          <c:tx>
            <c:strRef>
              <c:f>'Inf. Mansual Por Ditrib.'!$B$36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Ditrib.'!$C$36:$G$36</c:f>
            </c:numRef>
          </c:val>
        </c:ser>
        <c:ser>
          <c:idx val="7"/>
          <c:order val="6"/>
          <c:tx>
            <c:strRef>
              <c:f>'Inf. Mansual Por Ditrib.'!$B$37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Ditrib.'!$C$37:$G$37</c:f>
            </c:numRef>
          </c:val>
        </c:ser>
        <c:ser>
          <c:idx val="8"/>
          <c:order val="7"/>
          <c:tx>
            <c:strRef>
              <c:f>'Inf. Mansual Por Ditrib.'!$B$38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Ditrib.'!$C$38:$G$38</c:f>
            </c:numRef>
          </c:val>
        </c:ser>
        <c:ser>
          <c:idx val="9"/>
          <c:order val="8"/>
          <c:tx>
            <c:strRef>
              <c:f>'Inf. Mansual Por Ditrib.'!$B$39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Ditrib.'!$C$39:$G$39</c:f>
            </c:numRef>
          </c:val>
        </c:ser>
        <c:ser>
          <c:idx val="10"/>
          <c:order val="9"/>
          <c:tx>
            <c:strRef>
              <c:f>'Inf. Mansual Por Ditrib.'!$B$40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Ditrib.'!$C$40:$G$40</c:f>
            </c:numRef>
          </c:val>
        </c:ser>
        <c:ser>
          <c:idx val="11"/>
          <c:order val="10"/>
          <c:tx>
            <c:strRef>
              <c:f>'Inf. Mansual Por Ditrib.'!$B$41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Ditrib.'!$C$41:$G$41</c:f>
            </c:numRef>
          </c:val>
        </c:ser>
        <c:ser>
          <c:idx val="12"/>
          <c:order val="11"/>
          <c:tx>
            <c:strRef>
              <c:f>'Inf. Mansual Por Ditrib.'!$B$42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Ditrib.'!$C$42:$G$42</c:f>
            </c:numRef>
          </c:val>
        </c:ser>
        <c:ser>
          <c:idx val="13"/>
          <c:order val="12"/>
          <c:tx>
            <c:strRef>
              <c:f>'Inf. Mansual Por Ditrib.'!$B$43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Ditrib.'!$C$43:$G$43</c:f>
              <c:numCache/>
            </c:numRef>
          </c:val>
        </c:ser>
        <c:ser>
          <c:idx val="14"/>
          <c:order val="13"/>
          <c:tx>
            <c:strRef>
              <c:f>'Inf. Mansual Por Ditrib.'!$B$44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Ditrib.'!$C$44:$G$44</c:f>
              <c:numCache/>
            </c:numRef>
          </c:val>
        </c:ser>
        <c:ser>
          <c:idx val="15"/>
          <c:order val="14"/>
          <c:tx>
            <c:strRef>
              <c:f>'Inf. Mansual Por Ditrib.'!$B$45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Ditrib.'!$C$45:$G$45</c:f>
              <c:numCache/>
            </c:numRef>
          </c:val>
        </c:ser>
        <c:ser>
          <c:idx val="16"/>
          <c:order val="15"/>
          <c:tx>
            <c:strRef>
              <c:f>'Inf. Mansual Por Ditrib.'!$B$46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Ditrib.'!$C$46:$G$46</c:f>
              <c:numCache/>
            </c:numRef>
          </c:val>
        </c:ser>
        <c:ser>
          <c:idx val="17"/>
          <c:order val="16"/>
          <c:tx>
            <c:strRef>
              <c:f>'Inf. Mansual Por Ditrib.'!$B$47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Ditrib.'!$C$47:$G$47</c:f>
              <c:numCache/>
            </c:numRef>
          </c:val>
        </c:ser>
        <c:ser>
          <c:idx val="18"/>
          <c:order val="17"/>
          <c:tx>
            <c:strRef>
              <c:f>'Inf. Mansual Por Ditrib.'!$B$48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Ditrib.'!$C$48:$G$48</c:f>
              <c:numCache/>
            </c:numRef>
          </c:val>
        </c:ser>
        <c:ser>
          <c:idx val="19"/>
          <c:order val="18"/>
          <c:tx>
            <c:strRef>
              <c:f>'Inf. Mansual Por Ditrib.'!$B$49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Ditrib.'!$C$49:$G$49</c:f>
              <c:numCache/>
            </c:numRef>
          </c:val>
        </c:ser>
        <c:ser>
          <c:idx val="20"/>
          <c:order val="19"/>
          <c:tx>
            <c:strRef>
              <c:f>'Inf. Mansual Por Ditrib.'!$B$50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Ditrib.'!$C$50:$G$50</c:f>
              <c:numCache/>
            </c:numRef>
          </c:val>
        </c:ser>
        <c:overlap val="-27"/>
        <c:gapWidth val="219"/>
        <c:axId val="13472697"/>
        <c:axId val="54145410"/>
      </c:bar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72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75"/>
          <c:y val="0.93725"/>
          <c:w val="0.84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EdeSur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145"/>
          <c:w val="0.99725"/>
          <c:h val="0.7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'Inf. Mansual Por Ditrib.'!$B$55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Ditrib.'!$C$55:$G$55</c:f>
              <c:numCache/>
            </c:numRef>
          </c:val>
        </c:ser>
        <c:ser>
          <c:idx val="2"/>
          <c:order val="1"/>
          <c:tx>
            <c:strRef>
              <c:f>'Inf. Mansual Por Ditrib.'!$B$56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Ditrib.'!$C$56:$G$56</c:f>
            </c:numRef>
          </c:val>
        </c:ser>
        <c:ser>
          <c:idx val="3"/>
          <c:order val="2"/>
          <c:tx>
            <c:strRef>
              <c:f>'Inf. Mansual Por Ditrib.'!$B$57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Ditrib.'!$C$57:$G$57</c:f>
            </c:numRef>
          </c:val>
        </c:ser>
        <c:ser>
          <c:idx val="4"/>
          <c:order val="3"/>
          <c:tx>
            <c:strRef>
              <c:f>'Inf. Mansual Por Ditrib.'!$B$58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Ditrib.'!$C$58:$G$58</c:f>
            </c:numRef>
          </c:val>
        </c:ser>
        <c:ser>
          <c:idx val="5"/>
          <c:order val="4"/>
          <c:tx>
            <c:strRef>
              <c:f>'Inf. Mansual Por Ditrib.'!$B$59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Ditrib.'!$C$59:$G$59</c:f>
            </c:numRef>
          </c:val>
        </c:ser>
        <c:ser>
          <c:idx val="6"/>
          <c:order val="5"/>
          <c:tx>
            <c:strRef>
              <c:f>'Inf. Mansual Por Ditrib.'!$B$60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Ditrib.'!$C$60:$G$60</c:f>
            </c:numRef>
          </c:val>
        </c:ser>
        <c:ser>
          <c:idx val="7"/>
          <c:order val="6"/>
          <c:tx>
            <c:strRef>
              <c:f>'Inf. Mansual Por Ditrib.'!$B$61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Ditrib.'!$C$61:$G$61</c:f>
            </c:numRef>
          </c:val>
        </c:ser>
        <c:ser>
          <c:idx val="8"/>
          <c:order val="7"/>
          <c:tx>
            <c:strRef>
              <c:f>'Inf. Mansual Por Ditrib.'!$B$62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Ditrib.'!$C$62:$G$62</c:f>
            </c:numRef>
          </c:val>
        </c:ser>
        <c:ser>
          <c:idx val="9"/>
          <c:order val="8"/>
          <c:tx>
            <c:strRef>
              <c:f>'Inf. Mansual Por Ditrib.'!$B$63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Ditrib.'!$C$63:$G$63</c:f>
            </c:numRef>
          </c:val>
        </c:ser>
        <c:ser>
          <c:idx val="10"/>
          <c:order val="9"/>
          <c:tx>
            <c:strRef>
              <c:f>'Inf. Mansual Por Ditrib.'!$B$64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Ditrib.'!$C$64:$G$64</c:f>
            </c:numRef>
          </c:val>
        </c:ser>
        <c:ser>
          <c:idx val="11"/>
          <c:order val="10"/>
          <c:tx>
            <c:strRef>
              <c:f>'Inf. Mansual Por Ditrib.'!$B$65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Ditrib.'!$C$65:$G$65</c:f>
              <c:numCache/>
            </c:numRef>
          </c:val>
        </c:ser>
        <c:ser>
          <c:idx val="12"/>
          <c:order val="11"/>
          <c:tx>
            <c:strRef>
              <c:f>'Inf. Mansual Por Ditrib.'!$B$66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Ditrib.'!$C$66:$G$66</c:f>
              <c:numCache/>
            </c:numRef>
          </c:val>
        </c:ser>
        <c:ser>
          <c:idx val="13"/>
          <c:order val="12"/>
          <c:tx>
            <c:strRef>
              <c:f>'Inf. Mansual Por Ditrib.'!$B$67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Ditrib.'!$C$67:$G$67</c:f>
              <c:numCache/>
            </c:numRef>
          </c:val>
        </c:ser>
        <c:ser>
          <c:idx val="14"/>
          <c:order val="13"/>
          <c:tx>
            <c:strRef>
              <c:f>'Inf. Mansual Por Ditrib.'!$B$68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Ditrib.'!$C$68:$G$68</c:f>
              <c:numCache/>
            </c:numRef>
          </c:val>
        </c:ser>
        <c:ser>
          <c:idx val="15"/>
          <c:order val="14"/>
          <c:tx>
            <c:strRef>
              <c:f>'Inf. Mansual Por Ditrib.'!$B$69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Ditrib.'!$C$69:$G$69</c:f>
              <c:numCache/>
            </c:numRef>
          </c:val>
        </c:ser>
        <c:ser>
          <c:idx val="16"/>
          <c:order val="15"/>
          <c:tx>
            <c:strRef>
              <c:f>'Inf. Mansual Por Ditrib.'!$B$70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Ditrib.'!$C$70:$G$70</c:f>
              <c:numCache/>
            </c:numRef>
          </c:val>
        </c:ser>
        <c:ser>
          <c:idx val="17"/>
          <c:order val="16"/>
          <c:tx>
            <c:strRef>
              <c:f>'Inf. Mansual Por Ditrib.'!$B$71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Ditrib.'!$C$71:$G$71</c:f>
              <c:numCache/>
            </c:numRef>
          </c:val>
        </c:ser>
        <c:ser>
          <c:idx val="18"/>
          <c:order val="17"/>
          <c:tx>
            <c:strRef>
              <c:f>'Inf. Mansual Por Ditrib.'!$B$72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Ditrib.'!$C$72:$G$72</c:f>
              <c:numCache/>
            </c:numRef>
          </c:val>
        </c:ser>
        <c:ser>
          <c:idx val="19"/>
          <c:order val="18"/>
          <c:tx>
            <c:strRef>
              <c:f>'Inf. Mansual Por Ditrib.'!$B$73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Ditrib.'!$C$73:$G$73</c:f>
              <c:numCache/>
            </c:numRef>
          </c:val>
        </c:ser>
        <c:overlap val="-27"/>
        <c:gapWidth val="219"/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46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5"/>
          <c:y val="0.9215"/>
          <c:w val="0.917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Cerradas por Analistas EdeEste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15"/>
          <c:w val="0.9895"/>
          <c:h val="0.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'Por analistasEdeeste'!$C$5</c:f>
              <c:strCache>
                <c:ptCount val="1"/>
                <c:pt idx="0">
                  <c:v>Cerradas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analistasEdeeste'!$B$7:$B$21</c:f>
              <c:strCache/>
            </c:strRef>
          </c:cat>
          <c:val>
            <c:numRef>
              <c:f>'Por analistasEdeeste'!$C$7:$C$21</c:f>
              <c:numCache/>
            </c:numRef>
          </c:val>
        </c:ser>
        <c:gapWidth val="182"/>
        <c:axId val="11991949"/>
        <c:axId val="40818678"/>
      </c:barChart>
      <c:catAx>
        <c:axId val="119919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991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Cerradas por Analistas, EdeNorte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1745"/>
          <c:w val="0.988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'Por analistasEdenorte'!$C$3</c:f>
              <c:strCache>
                <c:ptCount val="1"/>
                <c:pt idx="0">
                  <c:v>Cerradas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analistasEdenorte'!$B$4:$B$11</c:f>
              <c:strCache/>
            </c:strRef>
          </c:cat>
          <c:val>
            <c:numRef>
              <c:f>'Por analistasEdenorte'!$C$4:$C$11</c:f>
              <c:numCache/>
            </c:numRef>
          </c:val>
        </c:ser>
        <c:gapWidth val="182"/>
        <c:axId val="31823783"/>
        <c:axId val="17978592"/>
      </c:barChart>
      <c:catAx>
        <c:axId val="31823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Cerradas por Analistas, EdeSur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5"/>
          <c:y val="0.1345"/>
          <c:w val="0.99275"/>
          <c:h val="0.8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'Por analistas Edesur'!$C$3</c:f>
              <c:strCache>
                <c:ptCount val="1"/>
                <c:pt idx="0">
                  <c:v>Cerradas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analistas Edesur'!$B$4:$B$13</c:f>
              <c:strCache/>
            </c:strRef>
          </c:cat>
          <c:val>
            <c:numRef>
              <c:f>'Por analistas Edesur'!$C$4:$C$13</c:f>
              <c:numCache/>
            </c:numRef>
          </c:val>
        </c:ser>
        <c:gapWidth val="182"/>
        <c:axId val="27589601"/>
        <c:axId val="46979818"/>
      </c:barChart>
      <c:catAx>
        <c:axId val="275896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58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9525</xdr:rowOff>
    </xdr:from>
    <xdr:to>
      <xdr:col>10</xdr:col>
      <xdr:colOff>0</xdr:colOff>
      <xdr:row>37</xdr:row>
      <xdr:rowOff>142875</xdr:rowOff>
    </xdr:to>
    <xdr:graphicFrame>
      <xdr:nvGraphicFramePr>
        <xdr:cNvPr id="1" name="Gráfico 2"/>
        <xdr:cNvGraphicFramePr/>
      </xdr:nvGraphicFramePr>
      <xdr:xfrm>
        <a:off x="180975" y="5238750"/>
        <a:ext cx="95726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57150</xdr:rowOff>
    </xdr:from>
    <xdr:to>
      <xdr:col>16</xdr:col>
      <xdr:colOff>19050</xdr:colOff>
      <xdr:row>28</xdr:row>
      <xdr:rowOff>85725</xdr:rowOff>
    </xdr:to>
    <xdr:graphicFrame>
      <xdr:nvGraphicFramePr>
        <xdr:cNvPr id="1" name="Gráfico 1"/>
        <xdr:cNvGraphicFramePr/>
      </xdr:nvGraphicFramePr>
      <xdr:xfrm>
        <a:off x="6381750" y="57150"/>
        <a:ext cx="5353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29</xdr:row>
      <xdr:rowOff>9525</xdr:rowOff>
    </xdr:from>
    <xdr:to>
      <xdr:col>15</xdr:col>
      <xdr:colOff>714375</xdr:colOff>
      <xdr:row>52</xdr:row>
      <xdr:rowOff>47625</xdr:rowOff>
    </xdr:to>
    <xdr:graphicFrame>
      <xdr:nvGraphicFramePr>
        <xdr:cNvPr id="2" name="Gráfico 2"/>
        <xdr:cNvGraphicFramePr/>
      </xdr:nvGraphicFramePr>
      <xdr:xfrm>
        <a:off x="6372225" y="5229225"/>
        <a:ext cx="5295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52</xdr:row>
      <xdr:rowOff>57150</xdr:rowOff>
    </xdr:from>
    <xdr:to>
      <xdr:col>16</xdr:col>
      <xdr:colOff>19050</xdr:colOff>
      <xdr:row>70</xdr:row>
      <xdr:rowOff>276225</xdr:rowOff>
    </xdr:to>
    <xdr:graphicFrame>
      <xdr:nvGraphicFramePr>
        <xdr:cNvPr id="3" name="Gráfico 4"/>
        <xdr:cNvGraphicFramePr/>
      </xdr:nvGraphicFramePr>
      <xdr:xfrm>
        <a:off x="6591300" y="9124950"/>
        <a:ext cx="51435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171450</xdr:rowOff>
    </xdr:from>
    <xdr:to>
      <xdr:col>13</xdr:col>
      <xdr:colOff>685800</xdr:colOff>
      <xdr:row>23</xdr:row>
      <xdr:rowOff>190500</xdr:rowOff>
    </xdr:to>
    <xdr:graphicFrame>
      <xdr:nvGraphicFramePr>
        <xdr:cNvPr id="1" name="Gráfico 2"/>
        <xdr:cNvGraphicFramePr/>
      </xdr:nvGraphicFramePr>
      <xdr:xfrm>
        <a:off x="4781550" y="742950"/>
        <a:ext cx="66294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123825</xdr:rowOff>
    </xdr:from>
    <xdr:to>
      <xdr:col>13</xdr:col>
      <xdr:colOff>161925</xdr:colOff>
      <xdr:row>13</xdr:row>
      <xdr:rowOff>104775</xdr:rowOff>
    </xdr:to>
    <xdr:graphicFrame>
      <xdr:nvGraphicFramePr>
        <xdr:cNvPr id="1" name="Gráfico 1"/>
        <xdr:cNvGraphicFramePr/>
      </xdr:nvGraphicFramePr>
      <xdr:xfrm>
        <a:off x="4495800" y="123825"/>
        <a:ext cx="62103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123825</xdr:rowOff>
    </xdr:from>
    <xdr:to>
      <xdr:col>14</xdr:col>
      <xdr:colOff>171450</xdr:colOff>
      <xdr:row>18</xdr:row>
      <xdr:rowOff>180975</xdr:rowOff>
    </xdr:to>
    <xdr:graphicFrame>
      <xdr:nvGraphicFramePr>
        <xdr:cNvPr id="1" name="Gráfico 1"/>
        <xdr:cNvGraphicFramePr/>
      </xdr:nvGraphicFramePr>
      <xdr:xfrm>
        <a:off x="3952875" y="314325"/>
        <a:ext cx="6486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tabSelected="1" zoomScalePageLayoutView="0" workbookViewId="0" topLeftCell="B1">
      <selection activeCell="I11" sqref="I11"/>
    </sheetView>
  </sheetViews>
  <sheetFormatPr defaultColWidth="11.421875" defaultRowHeight="15"/>
  <cols>
    <col min="1" max="1" width="2.57421875" style="0" customWidth="1"/>
    <col min="2" max="2" width="14.421875" style="0" customWidth="1"/>
    <col min="3" max="4" width="13.421875" style="0" customWidth="1"/>
    <col min="5" max="5" width="17.140625" style="0" customWidth="1"/>
    <col min="6" max="6" width="14.57421875" style="0" bestFit="1" customWidth="1"/>
    <col min="7" max="7" width="17.140625" style="0" bestFit="1" customWidth="1"/>
    <col min="8" max="8" width="18.421875" style="0" bestFit="1" customWidth="1"/>
    <col min="9" max="9" width="12.8515625" style="0" bestFit="1" customWidth="1"/>
    <col min="10" max="10" width="22.28125" style="0" customWidth="1"/>
    <col min="11" max="11" width="18.140625" style="0" customWidth="1"/>
    <col min="13" max="13" width="14.140625" style="0" bestFit="1" customWidth="1"/>
  </cols>
  <sheetData>
    <row r="1" spans="2:11" ht="20.25">
      <c r="B1" s="133" t="s">
        <v>81</v>
      </c>
      <c r="C1" s="133"/>
      <c r="D1" s="133"/>
      <c r="E1" s="133"/>
      <c r="F1" s="133"/>
      <c r="G1" s="133"/>
      <c r="H1" s="133"/>
      <c r="I1" s="133"/>
      <c r="J1" s="133"/>
      <c r="K1" s="58">
        <f>3667-I5</f>
        <v>0</v>
      </c>
    </row>
    <row r="2" spans="2:10" ht="20.25">
      <c r="B2" s="134" t="s">
        <v>32</v>
      </c>
      <c r="C2" s="134"/>
      <c r="D2" s="134"/>
      <c r="E2" s="134"/>
      <c r="F2" s="134"/>
      <c r="G2" s="134"/>
      <c r="H2" s="134"/>
      <c r="I2" s="134"/>
      <c r="J2" s="134"/>
    </row>
    <row r="4" spans="2:11" ht="41.25" customHeight="1">
      <c r="B4" s="18" t="s">
        <v>11</v>
      </c>
      <c r="C4" s="18" t="s">
        <v>35</v>
      </c>
      <c r="D4" s="82" t="s">
        <v>71</v>
      </c>
      <c r="E4" s="68" t="s">
        <v>60</v>
      </c>
      <c r="F4" s="18" t="s">
        <v>29</v>
      </c>
      <c r="G4" s="18" t="s">
        <v>30</v>
      </c>
      <c r="H4" s="18" t="s">
        <v>34</v>
      </c>
      <c r="I4" s="18" t="s">
        <v>94</v>
      </c>
      <c r="J4" s="68" t="s">
        <v>63</v>
      </c>
      <c r="K4" s="58"/>
    </row>
    <row r="5" spans="2:12" ht="20.25" customHeight="1">
      <c r="B5" s="19" t="s">
        <v>33</v>
      </c>
      <c r="C5" s="4">
        <f>+'Inf. Mansual Por Ditrib.'!C113</f>
        <v>2351</v>
      </c>
      <c r="D5" s="4">
        <f>3565+561</f>
        <v>4126</v>
      </c>
      <c r="E5" s="4">
        <f aca="true" t="shared" si="0" ref="E5:E10">+D5+C5</f>
        <v>6477</v>
      </c>
      <c r="F5" s="4">
        <f>+'Inf. Mansual Por Ditrib.'!D113</f>
        <v>460</v>
      </c>
      <c r="G5" s="4">
        <f>+'Inf. Mansual Por Ditrib.'!E113</f>
        <v>2350</v>
      </c>
      <c r="H5" s="4">
        <f>+G5+F5</f>
        <v>2810</v>
      </c>
      <c r="I5" s="4">
        <f>+E5-H5</f>
        <v>3667</v>
      </c>
      <c r="J5" s="107">
        <f>+'Inf. Mansual Por Ditrib.'!H113</f>
        <v>4906844</v>
      </c>
      <c r="K5" s="58"/>
      <c r="L5" s="58"/>
    </row>
    <row r="6" spans="2:11" ht="19.5" customHeight="1">
      <c r="B6" s="19" t="s">
        <v>13</v>
      </c>
      <c r="C6" s="4">
        <f>+'Inf. Mansual Por Ditrib.'!C115</f>
        <v>2272</v>
      </c>
      <c r="D6" s="4">
        <f>+I5</f>
        <v>3667</v>
      </c>
      <c r="E6" s="4">
        <f t="shared" si="0"/>
        <v>5939</v>
      </c>
      <c r="F6" s="4">
        <f>+'Inf. Mansual Por Ditrib.'!D115</f>
        <v>807</v>
      </c>
      <c r="G6" s="4">
        <f>+'Inf. Mansual Por Ditrib.'!E115</f>
        <v>2579</v>
      </c>
      <c r="H6" s="4">
        <f>+'Inf. Mansual Por Ditrib.'!F115</f>
        <v>3386</v>
      </c>
      <c r="I6" s="4">
        <f>+'Inf. Mansual Por Ditrib.'!G115</f>
        <v>2541</v>
      </c>
      <c r="J6" s="107">
        <f>+'Inf. Mansual Por Ditrib.'!H115</f>
        <v>6993592</v>
      </c>
      <c r="K6" s="58"/>
    </row>
    <row r="7" spans="2:10" ht="23.25" customHeight="1">
      <c r="B7" s="19" t="s">
        <v>10</v>
      </c>
      <c r="C7" s="4">
        <f>+'Inf. Mansual Por Ditrib.'!C117</f>
        <v>2135</v>
      </c>
      <c r="D7" s="4">
        <v>2541</v>
      </c>
      <c r="E7" s="4">
        <f t="shared" si="0"/>
        <v>4676</v>
      </c>
      <c r="F7" s="4">
        <f>+'Inf. Mansual Por Ditrib.'!D117</f>
        <v>720</v>
      </c>
      <c r="G7" s="4">
        <f>+'Inf. Mansual Por Ditrib.'!E117</f>
        <v>2148</v>
      </c>
      <c r="H7" s="4">
        <f>+'Inf. Mansual Por Ditrib.'!F117</f>
        <v>2868</v>
      </c>
      <c r="I7" s="4">
        <v>1872</v>
      </c>
      <c r="J7" s="110">
        <f>+'Inf. Mansual Por Ditrib.'!H117</f>
        <v>13171314</v>
      </c>
    </row>
    <row r="8" spans="2:10" ht="20.25" customHeight="1">
      <c r="B8" s="19" t="s">
        <v>28</v>
      </c>
      <c r="C8" s="4">
        <f>+'Inf. Mansual Por Ditrib.'!C119</f>
        <v>1992</v>
      </c>
      <c r="D8" s="4">
        <v>1872</v>
      </c>
      <c r="E8" s="4">
        <f t="shared" si="0"/>
        <v>3864</v>
      </c>
      <c r="F8" s="4">
        <f>+'Inf. Mansual Por Ditrib.'!D119</f>
        <v>757</v>
      </c>
      <c r="G8" s="4">
        <f>+'Inf. Mansual Por Ditrib.'!E119</f>
        <v>1967</v>
      </c>
      <c r="H8" s="4">
        <f>+'Inf. Mansual Por Ditrib.'!F119</f>
        <v>2724</v>
      </c>
      <c r="I8" s="4">
        <f>+'Inf. Mansual Por Ditrib.'!G119</f>
        <v>1171</v>
      </c>
      <c r="J8" s="110">
        <f>+'Inf. Mansual Por Ditrib.'!H119</f>
        <v>20510313</v>
      </c>
    </row>
    <row r="9" spans="2:11" ht="20.25" customHeight="1">
      <c r="B9" s="23" t="s">
        <v>36</v>
      </c>
      <c r="C9" s="4">
        <f>+'Inf. Mansual Por Ditrib.'!C121</f>
        <v>2120</v>
      </c>
      <c r="D9" s="4">
        <v>1171</v>
      </c>
      <c r="E9" s="4">
        <f t="shared" si="0"/>
        <v>3291</v>
      </c>
      <c r="F9" s="20">
        <f>+'Inf. Mansual Por Ditrib.'!D121</f>
        <v>512</v>
      </c>
      <c r="G9" s="20">
        <f>+'Inf. Mansual Por Ditrib.'!E121</f>
        <v>1514</v>
      </c>
      <c r="H9" s="20">
        <f>+'Inf. Mansual Por Ditrib.'!F121</f>
        <v>2026</v>
      </c>
      <c r="I9" s="20">
        <f>+'Inf. Mansual Por Ditrib.'!G121</f>
        <v>1277</v>
      </c>
      <c r="J9" s="116">
        <f>+'Inf. Mansual Por Ditrib.'!H121</f>
        <v>4399940</v>
      </c>
      <c r="K9" s="58"/>
    </row>
    <row r="10" spans="2:12" ht="20.25" customHeight="1">
      <c r="B10" s="23" t="s">
        <v>37</v>
      </c>
      <c r="C10" s="4">
        <f>+'Inf. Mansual Por Ditrib.'!C123</f>
        <v>2799</v>
      </c>
      <c r="D10" s="4">
        <v>1277</v>
      </c>
      <c r="E10" s="4">
        <f t="shared" si="0"/>
        <v>4076</v>
      </c>
      <c r="F10" s="20">
        <f>+'Inf. Mansual Por Ditrib.'!D123</f>
        <v>573</v>
      </c>
      <c r="G10" s="20">
        <f>+'Inf. Mansual Por Ditrib.'!E123</f>
        <v>2061</v>
      </c>
      <c r="H10" s="20">
        <f>+'Inf. Mansual Por Ditrib.'!F123</f>
        <v>2634</v>
      </c>
      <c r="I10" s="20">
        <v>1563</v>
      </c>
      <c r="J10" s="116">
        <f>+'Inf. Mansual Por Ditrib.'!H123</f>
        <v>4617680</v>
      </c>
      <c r="K10" s="58"/>
      <c r="L10" s="58"/>
    </row>
    <row r="11" spans="2:12" ht="20.25" customHeight="1">
      <c r="B11" s="23" t="s">
        <v>39</v>
      </c>
      <c r="C11" s="4"/>
      <c r="D11" s="4"/>
      <c r="E11" s="4"/>
      <c r="F11" s="20"/>
      <c r="G11" s="20"/>
      <c r="H11" s="20"/>
      <c r="I11" s="20"/>
      <c r="J11" s="20"/>
      <c r="K11" s="58"/>
      <c r="L11" s="78"/>
    </row>
    <row r="12" spans="2:12" ht="15.75">
      <c r="B12" s="24" t="s">
        <v>42</v>
      </c>
      <c r="C12" s="85"/>
      <c r="D12" s="85"/>
      <c r="E12" s="86"/>
      <c r="F12" s="86"/>
      <c r="G12" s="86"/>
      <c r="H12" s="86"/>
      <c r="I12" s="86"/>
      <c r="J12" s="87"/>
      <c r="L12" s="39"/>
    </row>
    <row r="13" spans="2:12" ht="22.5" customHeight="1">
      <c r="B13" s="93" t="s">
        <v>43</v>
      </c>
      <c r="C13" s="45"/>
      <c r="D13" s="45"/>
      <c r="E13" s="45"/>
      <c r="F13" s="45"/>
      <c r="G13" s="45"/>
      <c r="H13" s="45"/>
      <c r="I13" s="45"/>
      <c r="J13" s="47"/>
      <c r="L13" s="78"/>
    </row>
    <row r="14" spans="2:12" ht="22.5" customHeight="1">
      <c r="B14" s="93" t="s">
        <v>44</v>
      </c>
      <c r="C14" s="45"/>
      <c r="D14" s="45"/>
      <c r="E14" s="45"/>
      <c r="F14" s="45"/>
      <c r="G14" s="45"/>
      <c r="H14" s="45"/>
      <c r="I14" s="45"/>
      <c r="J14" s="47"/>
      <c r="L14" s="78"/>
    </row>
    <row r="15" spans="2:12" ht="25.5" customHeight="1">
      <c r="B15" s="93" t="s">
        <v>46</v>
      </c>
      <c r="C15" s="45"/>
      <c r="D15" s="45"/>
      <c r="E15" s="45"/>
      <c r="F15" s="45"/>
      <c r="G15" s="45"/>
      <c r="H15" s="45"/>
      <c r="I15" s="45"/>
      <c r="J15" s="45"/>
      <c r="L15" s="78"/>
    </row>
    <row r="16" spans="2:13" ht="31.5">
      <c r="B16" s="29" t="s">
        <v>77</v>
      </c>
      <c r="C16" s="25">
        <f>+C15+C14+C13+C12+C11+C10+C9+C8+C7+C6+C5</f>
        <v>13669</v>
      </c>
      <c r="D16" s="25">
        <v>1277</v>
      </c>
      <c r="E16" s="25">
        <v>4076</v>
      </c>
      <c r="F16" s="25">
        <f>+F15+F14+F13+F12+F11+F10+F9+F8+F7+F6+F5</f>
        <v>3829</v>
      </c>
      <c r="G16" s="25">
        <f>+G15+G14+G13+G12+G11+G10+G9+G8+G7+G6+G5</f>
        <v>12619</v>
      </c>
      <c r="H16" s="25">
        <f>+H15+H14+H13+H12+H11+H10+H9+H8+H7+H6+H5</f>
        <v>16448</v>
      </c>
      <c r="I16" s="25">
        <v>1563</v>
      </c>
      <c r="J16" s="108">
        <f>+J15+J14+J13+J12+J11+J10+J9+J8+J7+J6+J5</f>
        <v>54599683</v>
      </c>
      <c r="K16" s="58"/>
      <c r="L16" s="58"/>
      <c r="M16" s="58"/>
    </row>
    <row r="17" spans="2:10" ht="15.75">
      <c r="B17" s="26"/>
      <c r="C17" s="27"/>
      <c r="D17" s="27"/>
      <c r="E17" s="27"/>
      <c r="F17" s="27"/>
      <c r="G17" s="27"/>
      <c r="H17" s="27"/>
      <c r="I17" s="27"/>
      <c r="J17" s="27"/>
    </row>
    <row r="18" spans="2:10" ht="7.5" customHeight="1">
      <c r="B18" s="26"/>
      <c r="C18" s="52"/>
      <c r="D18" s="52"/>
      <c r="E18" s="52"/>
      <c r="F18" s="27"/>
      <c r="G18" s="27"/>
      <c r="H18" s="27"/>
      <c r="I18" s="27"/>
      <c r="J18" s="27"/>
    </row>
    <row r="19" ht="15">
      <c r="M19" s="75"/>
    </row>
    <row r="20" ht="15">
      <c r="M20" s="75"/>
    </row>
    <row r="21" ht="15">
      <c r="M21" s="74"/>
    </row>
    <row r="41" spans="2:4" ht="24" customHeight="1">
      <c r="B41" s="88" t="s">
        <v>72</v>
      </c>
      <c r="C41" s="88"/>
      <c r="D41" s="88"/>
    </row>
  </sheetData>
  <sheetProtection/>
  <mergeCells count="2">
    <mergeCell ref="B1:J1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3"/>
  <sheetViews>
    <sheetView workbookViewId="0" topLeftCell="B1">
      <selection activeCell="G100" sqref="G100"/>
    </sheetView>
  </sheetViews>
  <sheetFormatPr defaultColWidth="11.421875" defaultRowHeight="15"/>
  <cols>
    <col min="1" max="1" width="1.7109375" style="0" customWidth="1"/>
    <col min="2" max="2" width="12.00390625" style="0" customWidth="1"/>
    <col min="3" max="3" width="10.57421875" style="0" bestFit="1" customWidth="1"/>
    <col min="4" max="4" width="12.140625" style="117" bestFit="1" customWidth="1"/>
    <col min="5" max="5" width="14.421875" style="96" bestFit="1" customWidth="1"/>
    <col min="6" max="6" width="13.421875" style="96" customWidth="1"/>
    <col min="7" max="7" width="11.00390625" style="117" customWidth="1"/>
    <col min="8" max="8" width="16.57421875" style="96" customWidth="1"/>
    <col min="9" max="9" width="3.8515625" style="0" customWidth="1"/>
  </cols>
  <sheetData>
    <row r="2" spans="2:8" ht="18.75">
      <c r="B2" s="136" t="s">
        <v>9</v>
      </c>
      <c r="C2" s="136"/>
      <c r="D2" s="136"/>
      <c r="E2" s="136"/>
      <c r="F2" s="136"/>
      <c r="G2" s="136"/>
      <c r="H2" s="97"/>
    </row>
    <row r="3" spans="2:8" ht="18.75">
      <c r="B3" s="136" t="s">
        <v>45</v>
      </c>
      <c r="C3" s="136"/>
      <c r="D3" s="136"/>
      <c r="E3" s="136"/>
      <c r="F3" s="136"/>
      <c r="G3" s="136"/>
      <c r="H3" s="99"/>
    </row>
    <row r="4" ht="15">
      <c r="G4" s="128"/>
    </row>
    <row r="5" spans="2:6" ht="20.25" customHeight="1">
      <c r="B5" s="28" t="s">
        <v>14</v>
      </c>
      <c r="D5" s="135"/>
      <c r="E5" s="135"/>
      <c r="F5" s="135"/>
    </row>
    <row r="6" spans="2:8" ht="46.5" customHeight="1">
      <c r="B6" s="6" t="s">
        <v>11</v>
      </c>
      <c r="C6" s="7" t="s">
        <v>17</v>
      </c>
      <c r="D6" s="118" t="s">
        <v>29</v>
      </c>
      <c r="E6" s="7" t="s">
        <v>30</v>
      </c>
      <c r="F6" s="7" t="s">
        <v>38</v>
      </c>
      <c r="G6" s="118" t="s">
        <v>94</v>
      </c>
      <c r="H6" s="7" t="s">
        <v>27</v>
      </c>
    </row>
    <row r="7" spans="2:8" ht="23.25" customHeight="1">
      <c r="B7" s="91" t="s">
        <v>12</v>
      </c>
      <c r="C7" s="4">
        <f>1183+13</f>
        <v>1196</v>
      </c>
      <c r="D7" s="71">
        <f>119+12</f>
        <v>131</v>
      </c>
      <c r="E7" s="98">
        <f>1357+8</f>
        <v>1365</v>
      </c>
      <c r="F7" s="5">
        <f>1476+22</f>
        <v>1498</v>
      </c>
      <c r="G7" s="119">
        <f>2322+1</f>
        <v>2323</v>
      </c>
      <c r="H7" s="16">
        <f>1006214+153362</f>
        <v>1159576</v>
      </c>
    </row>
    <row r="8" spans="2:8" ht="24" customHeight="1">
      <c r="B8" s="91" t="s">
        <v>13</v>
      </c>
      <c r="C8" s="4">
        <f>1172+8</f>
        <v>1180</v>
      </c>
      <c r="D8" s="71">
        <f>220+10</f>
        <v>230</v>
      </c>
      <c r="E8" s="40">
        <f>1753+6</f>
        <v>1759</v>
      </c>
      <c r="F8" s="5">
        <f>1973+16</f>
        <v>1989</v>
      </c>
      <c r="G8" s="119">
        <f>1527+1</f>
        <v>1528</v>
      </c>
      <c r="H8" s="16">
        <f>2333329+84349</f>
        <v>2417678</v>
      </c>
    </row>
    <row r="9" spans="2:8" ht="20.25" customHeight="1" hidden="1">
      <c r="B9" s="91" t="s">
        <v>10</v>
      </c>
      <c r="C9" s="4"/>
      <c r="D9" s="119"/>
      <c r="E9" s="4"/>
      <c r="F9" s="4"/>
      <c r="G9" s="119"/>
      <c r="H9" s="4"/>
    </row>
    <row r="10" spans="2:8" ht="24.75" customHeight="1" hidden="1">
      <c r="B10" s="91" t="s">
        <v>28</v>
      </c>
      <c r="C10" s="4"/>
      <c r="D10" s="71"/>
      <c r="E10" s="40"/>
      <c r="F10" s="5"/>
      <c r="G10" s="71"/>
      <c r="H10" s="17"/>
    </row>
    <row r="11" spans="2:8" ht="20.25" customHeight="1" hidden="1">
      <c r="B11" s="91" t="s">
        <v>36</v>
      </c>
      <c r="C11" s="20"/>
      <c r="D11" s="71"/>
      <c r="E11" s="40"/>
      <c r="F11" s="5"/>
      <c r="G11" s="71"/>
      <c r="H11" s="16"/>
    </row>
    <row r="12" spans="2:8" ht="20.25" customHeight="1" hidden="1">
      <c r="B12" s="91" t="s">
        <v>37</v>
      </c>
      <c r="C12" s="31"/>
      <c r="D12" s="55"/>
      <c r="E12" s="41"/>
      <c r="F12" s="33"/>
      <c r="G12" s="55"/>
      <c r="H12" s="49"/>
    </row>
    <row r="13" spans="2:8" ht="18" customHeight="1" hidden="1">
      <c r="B13" s="91" t="s">
        <v>39</v>
      </c>
      <c r="C13" s="31"/>
      <c r="D13" s="55"/>
      <c r="E13" s="41"/>
      <c r="F13" s="33"/>
      <c r="G13" s="55"/>
      <c r="H13" s="49"/>
    </row>
    <row r="14" spans="2:8" ht="18" customHeight="1" hidden="1">
      <c r="B14" s="91" t="s">
        <v>42</v>
      </c>
      <c r="C14" s="31"/>
      <c r="D14" s="55"/>
      <c r="E14" s="41"/>
      <c r="F14" s="33"/>
      <c r="G14" s="55"/>
      <c r="H14" s="49"/>
    </row>
    <row r="15" spans="2:8" ht="21" customHeight="1" hidden="1">
      <c r="B15" s="92" t="s">
        <v>43</v>
      </c>
      <c r="C15" s="45"/>
      <c r="D15" s="73"/>
      <c r="E15" s="47"/>
      <c r="F15" s="48"/>
      <c r="G15" s="73"/>
      <c r="H15" s="49"/>
    </row>
    <row r="16" spans="2:8" ht="22.5" customHeight="1" hidden="1">
      <c r="B16" s="91" t="s">
        <v>44</v>
      </c>
      <c r="C16" s="45"/>
      <c r="D16" s="55"/>
      <c r="E16" s="33"/>
      <c r="F16" s="51"/>
      <c r="G16" s="55"/>
      <c r="H16" s="49"/>
    </row>
    <row r="17" spans="2:8" ht="25.5" customHeight="1" hidden="1">
      <c r="B17" s="92" t="s">
        <v>46</v>
      </c>
      <c r="C17" s="31"/>
      <c r="D17" s="120"/>
      <c r="E17" s="55"/>
      <c r="F17" s="51"/>
      <c r="G17" s="55"/>
      <c r="H17" s="54"/>
    </row>
    <row r="18" spans="2:8" s="34" customFormat="1" ht="21" customHeight="1" hidden="1">
      <c r="B18" s="91" t="s">
        <v>47</v>
      </c>
      <c r="C18" s="31"/>
      <c r="D18" s="121"/>
      <c r="E18" s="41"/>
      <c r="F18" s="51"/>
      <c r="G18" s="55"/>
      <c r="H18" s="54"/>
    </row>
    <row r="19" spans="2:8" s="34" customFormat="1" ht="21" customHeight="1">
      <c r="B19" s="91" t="s">
        <v>10</v>
      </c>
      <c r="C19" s="31">
        <f>1064+6</f>
        <v>1070</v>
      </c>
      <c r="D19" s="121">
        <f>191+5</f>
        <v>196</v>
      </c>
      <c r="E19" s="41">
        <f>1484+2</f>
        <v>1486</v>
      </c>
      <c r="F19" s="51">
        <f>1675+7</f>
        <v>1682</v>
      </c>
      <c r="G19" s="55">
        <f>916+1</f>
        <v>917</v>
      </c>
      <c r="H19" s="54">
        <f>8165613+253838</f>
        <v>8419451</v>
      </c>
    </row>
    <row r="20" spans="2:8" s="34" customFormat="1" ht="21" customHeight="1">
      <c r="B20" s="91" t="s">
        <v>28</v>
      </c>
      <c r="C20" s="31">
        <f>972+8</f>
        <v>980</v>
      </c>
      <c r="D20" s="121">
        <f>225+4</f>
        <v>229</v>
      </c>
      <c r="E20" s="41">
        <f>1197+4</f>
        <v>1201</v>
      </c>
      <c r="F20" s="51">
        <f>1422+8</f>
        <v>1430</v>
      </c>
      <c r="G20" s="55">
        <v>476</v>
      </c>
      <c r="H20" s="54">
        <f>1893642+32411</f>
        <v>1926053</v>
      </c>
    </row>
    <row r="21" spans="2:8" s="34" customFormat="1" ht="21" customHeight="1">
      <c r="B21" s="91" t="s">
        <v>36</v>
      </c>
      <c r="C21" s="31">
        <f>1089+12</f>
        <v>1101</v>
      </c>
      <c r="D21" s="70">
        <f>119+5</f>
        <v>124</v>
      </c>
      <c r="E21" s="31">
        <f>862+7</f>
        <v>869</v>
      </c>
      <c r="F21" s="31">
        <f>981+12</f>
        <v>993</v>
      </c>
      <c r="G21" s="70">
        <v>594</v>
      </c>
      <c r="H21" s="115">
        <f>854579+37990</f>
        <v>892569</v>
      </c>
    </row>
    <row r="22" spans="2:8" s="34" customFormat="1" ht="21" customHeight="1">
      <c r="B22" s="91" t="s">
        <v>37</v>
      </c>
      <c r="C22" s="31">
        <f>1382+8</f>
        <v>1390</v>
      </c>
      <c r="D22" s="55">
        <f>171+5</f>
        <v>176</v>
      </c>
      <c r="E22" s="30">
        <f>1221+3</f>
        <v>1224</v>
      </c>
      <c r="F22" s="30">
        <f>1392+8</f>
        <v>1400</v>
      </c>
      <c r="G22" s="55">
        <v>649</v>
      </c>
      <c r="H22" s="69">
        <f>1391483+20630</f>
        <v>1412113</v>
      </c>
    </row>
    <row r="23" spans="2:8" s="34" customFormat="1" ht="21" customHeight="1">
      <c r="B23" s="91" t="s">
        <v>39</v>
      </c>
      <c r="C23" s="31"/>
      <c r="D23" s="55"/>
      <c r="E23" s="30"/>
      <c r="F23" s="30"/>
      <c r="G23" s="55"/>
      <c r="H23" s="69"/>
    </row>
    <row r="24" spans="2:8" s="34" customFormat="1" ht="21" customHeight="1">
      <c r="B24" s="91" t="s">
        <v>42</v>
      </c>
      <c r="C24" s="31"/>
      <c r="D24" s="55"/>
      <c r="E24" s="30"/>
      <c r="F24" s="30"/>
      <c r="G24" s="55"/>
      <c r="H24" s="69"/>
    </row>
    <row r="25" spans="2:8" s="34" customFormat="1" ht="21" customHeight="1">
      <c r="B25" s="91" t="s">
        <v>43</v>
      </c>
      <c r="C25" s="31"/>
      <c r="D25" s="55"/>
      <c r="E25" s="30"/>
      <c r="F25" s="30"/>
      <c r="G25" s="55"/>
      <c r="H25" s="69"/>
    </row>
    <row r="26" spans="2:8" s="34" customFormat="1" ht="21" customHeight="1">
      <c r="B26" s="91" t="s">
        <v>44</v>
      </c>
      <c r="C26" s="31"/>
      <c r="D26" s="55"/>
      <c r="E26" s="30"/>
      <c r="F26" s="30"/>
      <c r="G26" s="55"/>
      <c r="H26" s="69"/>
    </row>
    <row r="27" spans="2:8" s="34" customFormat="1" ht="21" customHeight="1">
      <c r="B27" s="91" t="s">
        <v>46</v>
      </c>
      <c r="C27" s="30"/>
      <c r="D27" s="55"/>
      <c r="E27" s="30"/>
      <c r="F27" s="30"/>
      <c r="G27" s="55"/>
      <c r="H27" s="69"/>
    </row>
    <row r="28" ht="21.75" customHeight="1">
      <c r="H28" s="53"/>
    </row>
    <row r="29" spans="2:6" ht="18.75" customHeight="1">
      <c r="B29" s="28" t="s">
        <v>15</v>
      </c>
      <c r="D29" s="135"/>
      <c r="E29" s="135"/>
      <c r="F29" s="135"/>
    </row>
    <row r="30" spans="2:8" ht="42" customHeight="1">
      <c r="B30" s="6" t="s">
        <v>11</v>
      </c>
      <c r="C30" s="7" t="s">
        <v>17</v>
      </c>
      <c r="D30" s="118" t="s">
        <v>29</v>
      </c>
      <c r="E30" s="7" t="s">
        <v>30</v>
      </c>
      <c r="F30" s="7" t="s">
        <v>38</v>
      </c>
      <c r="G30" s="118" t="s">
        <v>94</v>
      </c>
      <c r="H30" s="7" t="s">
        <v>27</v>
      </c>
    </row>
    <row r="31" spans="2:8" ht="23.25" customHeight="1">
      <c r="B31" s="91" t="s">
        <v>12</v>
      </c>
      <c r="C31" s="71">
        <f>439+5</f>
        <v>444</v>
      </c>
      <c r="D31" s="71">
        <f>99+3</f>
        <v>102</v>
      </c>
      <c r="E31" s="3">
        <f>235+1</f>
        <v>236</v>
      </c>
      <c r="F31" s="3">
        <f>334+4</f>
        <v>338</v>
      </c>
      <c r="G31" s="71">
        <v>488</v>
      </c>
      <c r="H31" s="16">
        <f>494452+157977</f>
        <v>652429</v>
      </c>
    </row>
    <row r="32" spans="2:8" ht="21" customHeight="1">
      <c r="B32" s="91" t="s">
        <v>13</v>
      </c>
      <c r="C32" s="71">
        <f>393+4</f>
        <v>397</v>
      </c>
      <c r="D32" s="71">
        <f>217+1</f>
        <v>218</v>
      </c>
      <c r="E32" s="3">
        <f>211+1</f>
        <v>212</v>
      </c>
      <c r="F32" s="3">
        <f>428+2</f>
        <v>430</v>
      </c>
      <c r="G32" s="71">
        <v>464</v>
      </c>
      <c r="H32" s="16">
        <f>1996306+57825</f>
        <v>2054131</v>
      </c>
    </row>
    <row r="33" spans="2:8" ht="18" customHeight="1" hidden="1">
      <c r="B33" s="91" t="s">
        <v>10</v>
      </c>
      <c r="C33" s="71"/>
      <c r="D33" s="71"/>
      <c r="E33" s="3"/>
      <c r="F33" s="3"/>
      <c r="G33" s="71"/>
      <c r="H33" s="16"/>
    </row>
    <row r="34" spans="2:8" ht="18" customHeight="1" hidden="1">
      <c r="B34" s="91" t="s">
        <v>28</v>
      </c>
      <c r="C34" s="71"/>
      <c r="D34" s="71"/>
      <c r="E34" s="3"/>
      <c r="F34" s="3"/>
      <c r="G34" s="71"/>
      <c r="H34" s="16"/>
    </row>
    <row r="35" spans="2:8" ht="20.25" customHeight="1" hidden="1">
      <c r="B35" s="91" t="s">
        <v>36</v>
      </c>
      <c r="C35" s="72"/>
      <c r="D35" s="71"/>
      <c r="E35" s="3"/>
      <c r="F35" s="3"/>
      <c r="G35" s="71"/>
      <c r="H35" s="16"/>
    </row>
    <row r="36" spans="2:8" ht="18" customHeight="1" hidden="1">
      <c r="B36" s="91" t="s">
        <v>37</v>
      </c>
      <c r="C36" s="55"/>
      <c r="D36" s="55"/>
      <c r="E36" s="32"/>
      <c r="F36" s="32"/>
      <c r="G36" s="55"/>
      <c r="H36" s="49"/>
    </row>
    <row r="37" spans="2:8" ht="20.25" customHeight="1" hidden="1">
      <c r="B37" s="91" t="s">
        <v>39</v>
      </c>
      <c r="C37" s="55"/>
      <c r="D37" s="55"/>
      <c r="E37" s="32"/>
      <c r="F37" s="32"/>
      <c r="G37" s="55"/>
      <c r="H37" s="49"/>
    </row>
    <row r="38" spans="2:8" ht="21" customHeight="1" hidden="1">
      <c r="B38" s="91" t="s">
        <v>42</v>
      </c>
      <c r="C38" s="55"/>
      <c r="D38" s="55"/>
      <c r="E38" s="32"/>
      <c r="F38" s="32"/>
      <c r="G38" s="55"/>
      <c r="H38" s="49"/>
    </row>
    <row r="39" spans="2:8" ht="22.5" customHeight="1" hidden="1">
      <c r="B39" s="92" t="s">
        <v>43</v>
      </c>
      <c r="C39" s="73"/>
      <c r="D39" s="73"/>
      <c r="E39" s="46"/>
      <c r="F39" s="46"/>
      <c r="G39" s="73"/>
      <c r="H39" s="49"/>
    </row>
    <row r="40" spans="2:8" ht="22.5" customHeight="1" hidden="1">
      <c r="B40" s="91" t="s">
        <v>44</v>
      </c>
      <c r="C40" s="55"/>
      <c r="D40" s="55"/>
      <c r="E40" s="32"/>
      <c r="F40" s="32"/>
      <c r="G40" s="55"/>
      <c r="H40" s="49"/>
    </row>
    <row r="41" spans="2:8" s="34" customFormat="1" ht="24.75" customHeight="1" hidden="1">
      <c r="B41" s="92" t="s">
        <v>46</v>
      </c>
      <c r="C41" s="70"/>
      <c r="D41" s="121"/>
      <c r="E41" s="32"/>
      <c r="F41" s="56"/>
      <c r="G41" s="55"/>
      <c r="H41" s="54"/>
    </row>
    <row r="42" spans="2:8" ht="21.75" customHeight="1" hidden="1">
      <c r="B42" s="91" t="s">
        <v>47</v>
      </c>
      <c r="C42" s="70"/>
      <c r="D42" s="121"/>
      <c r="E42" s="32"/>
      <c r="F42" s="56"/>
      <c r="G42" s="55"/>
      <c r="H42" s="54"/>
    </row>
    <row r="43" spans="2:8" ht="21.75" customHeight="1">
      <c r="B43" s="91" t="s">
        <v>10</v>
      </c>
      <c r="C43" s="70">
        <f>411+6</f>
        <v>417</v>
      </c>
      <c r="D43" s="121">
        <f>236+5</f>
        <v>241</v>
      </c>
      <c r="E43" s="32">
        <f>284+3</f>
        <v>287</v>
      </c>
      <c r="F43" s="56">
        <f>520+8</f>
        <v>528</v>
      </c>
      <c r="G43" s="55">
        <v>413</v>
      </c>
      <c r="H43" s="54">
        <f>1772693+331264</f>
        <v>2103957</v>
      </c>
    </row>
    <row r="44" spans="2:8" ht="21.75" customHeight="1">
      <c r="B44" s="91" t="s">
        <v>28</v>
      </c>
      <c r="C44" s="70">
        <f>388+4</f>
        <v>392</v>
      </c>
      <c r="D44" s="121">
        <f>190+1</f>
        <v>191</v>
      </c>
      <c r="E44" s="32">
        <f>283+8</f>
        <v>291</v>
      </c>
      <c r="F44" s="56">
        <f>473+9</f>
        <v>482</v>
      </c>
      <c r="G44" s="55">
        <v>307</v>
      </c>
      <c r="H44" s="54">
        <f>1579358+150702</f>
        <v>1730060</v>
      </c>
    </row>
    <row r="45" spans="2:8" ht="21.75" customHeight="1">
      <c r="B45" s="91" t="s">
        <v>36</v>
      </c>
      <c r="C45" s="70">
        <f>453+1</f>
        <v>454</v>
      </c>
      <c r="D45" s="121">
        <v>147</v>
      </c>
      <c r="E45" s="32">
        <f>209+1</f>
        <v>210</v>
      </c>
      <c r="F45" s="56">
        <f>356+1</f>
        <v>357</v>
      </c>
      <c r="G45" s="55">
        <v>400</v>
      </c>
      <c r="H45" s="54">
        <v>1176293</v>
      </c>
    </row>
    <row r="46" spans="2:8" ht="21.75" customHeight="1">
      <c r="B46" s="91" t="s">
        <v>37</v>
      </c>
      <c r="C46" s="55">
        <f>610+8</f>
        <v>618</v>
      </c>
      <c r="D46" s="55">
        <f>202+2</f>
        <v>204</v>
      </c>
      <c r="E46" s="32">
        <f>302+3</f>
        <v>305</v>
      </c>
      <c r="F46" s="32">
        <f>504+5</f>
        <v>509</v>
      </c>
      <c r="G46" s="55">
        <v>505</v>
      </c>
      <c r="H46" s="69">
        <f>1430481+190222</f>
        <v>1620703</v>
      </c>
    </row>
    <row r="47" spans="2:8" ht="21.75" customHeight="1">
      <c r="B47" s="91" t="s">
        <v>39</v>
      </c>
      <c r="C47" s="55"/>
      <c r="D47" s="55"/>
      <c r="E47" s="32"/>
      <c r="F47" s="32"/>
      <c r="G47" s="55"/>
      <c r="H47" s="69"/>
    </row>
    <row r="48" spans="2:8" ht="21.75" customHeight="1">
      <c r="B48" s="91" t="s">
        <v>42</v>
      </c>
      <c r="C48" s="55"/>
      <c r="D48" s="55"/>
      <c r="E48" s="32"/>
      <c r="F48" s="32"/>
      <c r="G48" s="55"/>
      <c r="H48" s="69"/>
    </row>
    <row r="49" spans="2:8" ht="21.75" customHeight="1">
      <c r="B49" s="91" t="s">
        <v>43</v>
      </c>
      <c r="C49" s="55"/>
      <c r="D49" s="55"/>
      <c r="E49" s="32"/>
      <c r="F49" s="32"/>
      <c r="G49" s="55"/>
      <c r="H49" s="69"/>
    </row>
    <row r="50" spans="2:8" ht="21.75" customHeight="1">
      <c r="B50" s="91" t="s">
        <v>44</v>
      </c>
      <c r="C50" s="30"/>
      <c r="D50" s="55"/>
      <c r="E50" s="32"/>
      <c r="F50" s="32"/>
      <c r="G50" s="55"/>
      <c r="H50" s="69"/>
    </row>
    <row r="51" spans="2:8" ht="21.75" customHeight="1">
      <c r="B51" s="91" t="s">
        <v>46</v>
      </c>
      <c r="C51" s="30"/>
      <c r="D51" s="55"/>
      <c r="E51" s="32"/>
      <c r="F51" s="32"/>
      <c r="G51" s="55"/>
      <c r="H51" s="69"/>
    </row>
    <row r="52" ht="21" customHeight="1">
      <c r="H52" s="53"/>
    </row>
    <row r="53" spans="2:6" ht="30" customHeight="1">
      <c r="B53" s="28" t="s">
        <v>16</v>
      </c>
      <c r="D53" s="135"/>
      <c r="E53" s="135"/>
      <c r="F53" s="135"/>
    </row>
    <row r="54" spans="2:8" ht="51" customHeight="1">
      <c r="B54" s="8" t="s">
        <v>11</v>
      </c>
      <c r="C54" s="7" t="s">
        <v>17</v>
      </c>
      <c r="D54" s="118" t="s">
        <v>29</v>
      </c>
      <c r="E54" s="7" t="s">
        <v>30</v>
      </c>
      <c r="F54" s="7" t="s">
        <v>38</v>
      </c>
      <c r="G54" s="118" t="s">
        <v>94</v>
      </c>
      <c r="H54" s="7" t="s">
        <v>27</v>
      </c>
    </row>
    <row r="55" spans="2:8" ht="19.5" customHeight="1">
      <c r="B55" s="91" t="s">
        <v>12</v>
      </c>
      <c r="C55" s="30">
        <f>679+10</f>
        <v>689</v>
      </c>
      <c r="D55" s="55">
        <f>213+13</f>
        <v>226</v>
      </c>
      <c r="E55" s="32">
        <f>735+2</f>
        <v>737</v>
      </c>
      <c r="F55" s="32">
        <f>948+15</f>
        <v>963</v>
      </c>
      <c r="G55" s="55">
        <v>825</v>
      </c>
      <c r="H55" s="49">
        <f>2005742+1089097</f>
        <v>3094839</v>
      </c>
    </row>
    <row r="56" spans="2:8" ht="21" customHeight="1" hidden="1">
      <c r="B56" s="91" t="s">
        <v>13</v>
      </c>
      <c r="C56" s="30"/>
      <c r="D56" s="55"/>
      <c r="E56" s="32"/>
      <c r="F56" s="32"/>
      <c r="G56" s="55"/>
      <c r="H56" s="49"/>
    </row>
    <row r="57" spans="2:8" ht="19.5" customHeight="1" hidden="1">
      <c r="B57" s="91" t="s">
        <v>10</v>
      </c>
      <c r="C57" s="30"/>
      <c r="D57" s="55"/>
      <c r="E57" s="32"/>
      <c r="F57" s="32"/>
      <c r="G57" s="55"/>
      <c r="H57" s="49"/>
    </row>
    <row r="58" spans="2:8" ht="20.25" customHeight="1" hidden="1">
      <c r="B58" s="91" t="s">
        <v>28</v>
      </c>
      <c r="C58" s="30"/>
      <c r="D58" s="55"/>
      <c r="E58" s="32"/>
      <c r="F58" s="32"/>
      <c r="G58" s="55"/>
      <c r="H58" s="49"/>
    </row>
    <row r="59" spans="2:8" ht="21" customHeight="1" hidden="1">
      <c r="B59" s="91" t="s">
        <v>36</v>
      </c>
      <c r="C59" s="30"/>
      <c r="D59" s="55"/>
      <c r="E59" s="32"/>
      <c r="F59" s="32"/>
      <c r="G59" s="55"/>
      <c r="H59" s="49"/>
    </row>
    <row r="60" spans="2:8" ht="24" customHeight="1" hidden="1">
      <c r="B60" s="91" t="s">
        <v>37</v>
      </c>
      <c r="C60" s="30"/>
      <c r="D60" s="55"/>
      <c r="E60" s="32"/>
      <c r="F60" s="32"/>
      <c r="G60" s="55"/>
      <c r="H60" s="49"/>
    </row>
    <row r="61" spans="2:8" ht="24" customHeight="1" hidden="1">
      <c r="B61" s="91" t="s">
        <v>39</v>
      </c>
      <c r="C61" s="30"/>
      <c r="D61" s="55"/>
      <c r="E61" s="32"/>
      <c r="F61" s="32"/>
      <c r="G61" s="55"/>
      <c r="H61" s="49"/>
    </row>
    <row r="62" spans="2:8" ht="24" customHeight="1" hidden="1">
      <c r="B62" s="91" t="s">
        <v>42</v>
      </c>
      <c r="C62" s="30"/>
      <c r="D62" s="55"/>
      <c r="E62" s="32"/>
      <c r="F62" s="32"/>
      <c r="G62" s="55"/>
      <c r="H62" s="49"/>
    </row>
    <row r="63" spans="2:8" s="34" customFormat="1" ht="24" customHeight="1" hidden="1">
      <c r="B63" s="91" t="s">
        <v>43</v>
      </c>
      <c r="C63" s="30"/>
      <c r="D63" s="55"/>
      <c r="E63" s="32"/>
      <c r="F63" s="32"/>
      <c r="G63" s="55"/>
      <c r="H63" s="49"/>
    </row>
    <row r="64" spans="2:8" ht="24" customHeight="1" hidden="1">
      <c r="B64" s="91" t="s">
        <v>44</v>
      </c>
      <c r="C64" s="31"/>
      <c r="D64" s="121"/>
      <c r="E64" s="32"/>
      <c r="F64" s="32"/>
      <c r="G64" s="55"/>
      <c r="H64" s="54"/>
    </row>
    <row r="65" spans="2:8" ht="24" customHeight="1">
      <c r="B65" s="91" t="s">
        <v>13</v>
      </c>
      <c r="C65" s="30">
        <f>669+19</f>
        <v>688</v>
      </c>
      <c r="D65" s="55">
        <f>348+8</f>
        <v>356</v>
      </c>
      <c r="E65" s="32">
        <f>580+11</f>
        <v>591</v>
      </c>
      <c r="F65" s="32">
        <f>928+19</f>
        <v>947</v>
      </c>
      <c r="G65" s="55">
        <f>532+1</f>
        <v>533</v>
      </c>
      <c r="H65" s="49">
        <f>2486650+31633</f>
        <v>2518283</v>
      </c>
    </row>
    <row r="66" spans="2:8" ht="24" customHeight="1">
      <c r="B66" s="91" t="s">
        <v>10</v>
      </c>
      <c r="C66" s="31">
        <f>631+11</f>
        <v>642</v>
      </c>
      <c r="D66" s="121">
        <f>267+10</f>
        <v>277</v>
      </c>
      <c r="E66" s="32">
        <f>365+4</f>
        <v>369</v>
      </c>
      <c r="F66" s="32">
        <f>632+14</f>
        <v>646</v>
      </c>
      <c r="G66" s="55">
        <v>533</v>
      </c>
      <c r="H66" s="54">
        <f>2224320+419586</f>
        <v>2643906</v>
      </c>
    </row>
    <row r="67" spans="2:8" ht="24" customHeight="1">
      <c r="B67" s="91" t="s">
        <v>28</v>
      </c>
      <c r="C67" s="31">
        <f>595+6</f>
        <v>601</v>
      </c>
      <c r="D67" s="121">
        <f>329+6</f>
        <v>335</v>
      </c>
      <c r="E67" s="32">
        <f>453+4</f>
        <v>457</v>
      </c>
      <c r="F67" s="32">
        <f>782+10</f>
        <v>792</v>
      </c>
      <c r="G67" s="55">
        <v>379</v>
      </c>
      <c r="H67" s="54">
        <f>3259371+13594829</f>
        <v>16854200</v>
      </c>
    </row>
    <row r="68" spans="2:8" ht="23.25" customHeight="1">
      <c r="B68" s="91" t="s">
        <v>36</v>
      </c>
      <c r="C68" s="31">
        <f>545+13</f>
        <v>558</v>
      </c>
      <c r="D68" s="121">
        <f>230+9</f>
        <v>239</v>
      </c>
      <c r="E68" s="32">
        <f>424+3</f>
        <v>427</v>
      </c>
      <c r="F68" s="32">
        <f>654+12</f>
        <v>666</v>
      </c>
      <c r="G68" s="55">
        <f>275+2</f>
        <v>277</v>
      </c>
      <c r="H68" s="54">
        <f>1797164+533584</f>
        <v>2330748</v>
      </c>
    </row>
    <row r="69" spans="2:8" ht="21" customHeight="1">
      <c r="B69" s="91" t="s">
        <v>37</v>
      </c>
      <c r="C69" s="30">
        <f>770+10</f>
        <v>780</v>
      </c>
      <c r="D69" s="55">
        <f>186+7</f>
        <v>193</v>
      </c>
      <c r="E69" s="32">
        <f>514+7</f>
        <v>521</v>
      </c>
      <c r="F69" s="32">
        <f>700+14</f>
        <v>714</v>
      </c>
      <c r="G69" s="55">
        <v>403</v>
      </c>
      <c r="H69" s="69">
        <f>880531+704333</f>
        <v>1584864</v>
      </c>
    </row>
    <row r="70" spans="2:8" ht="21" customHeight="1">
      <c r="B70" s="91" t="s">
        <v>39</v>
      </c>
      <c r="C70" s="30"/>
      <c r="D70" s="55"/>
      <c r="E70" s="32"/>
      <c r="F70" s="32"/>
      <c r="G70" s="55"/>
      <c r="H70" s="69"/>
    </row>
    <row r="71" spans="2:8" ht="21.75" customHeight="1">
      <c r="B71" s="91" t="s">
        <v>42</v>
      </c>
      <c r="C71" s="2"/>
      <c r="D71" s="71"/>
      <c r="E71" s="3"/>
      <c r="F71" s="3"/>
      <c r="G71" s="71"/>
      <c r="H71" s="80"/>
    </row>
    <row r="72" spans="2:8" ht="21.75" customHeight="1">
      <c r="B72" s="91" t="s">
        <v>43</v>
      </c>
      <c r="C72" s="2"/>
      <c r="D72" s="71"/>
      <c r="E72" s="3"/>
      <c r="F72" s="3"/>
      <c r="G72" s="71"/>
      <c r="H72" s="80"/>
    </row>
    <row r="73" spans="2:8" ht="21.75" customHeight="1">
      <c r="B73" s="91" t="s">
        <v>44</v>
      </c>
      <c r="C73" s="30"/>
      <c r="D73" s="55"/>
      <c r="E73" s="32"/>
      <c r="F73" s="32"/>
      <c r="G73" s="55"/>
      <c r="H73" s="49"/>
    </row>
    <row r="74" spans="2:8" ht="21.75" customHeight="1">
      <c r="B74" s="91" t="s">
        <v>46</v>
      </c>
      <c r="C74" s="30"/>
      <c r="D74" s="55"/>
      <c r="E74" s="32"/>
      <c r="F74" s="32"/>
      <c r="G74" s="55"/>
      <c r="H74" s="49"/>
    </row>
    <row r="75" spans="2:8" ht="24" customHeight="1">
      <c r="B75" s="79"/>
      <c r="H75" s="53"/>
    </row>
    <row r="76" spans="2:6" ht="24.75" customHeight="1">
      <c r="B76" s="28" t="s">
        <v>49</v>
      </c>
      <c r="D76" s="135"/>
      <c r="E76" s="135"/>
      <c r="F76" s="135"/>
    </row>
    <row r="77" spans="2:8" ht="29.25" customHeight="1">
      <c r="B77" s="8" t="s">
        <v>11</v>
      </c>
      <c r="C77" s="7" t="s">
        <v>17</v>
      </c>
      <c r="D77" s="118" t="s">
        <v>29</v>
      </c>
      <c r="E77" s="7" t="s">
        <v>30</v>
      </c>
      <c r="F77" s="7" t="s">
        <v>38</v>
      </c>
      <c r="G77" s="118" t="s">
        <v>94</v>
      </c>
      <c r="H77" s="7" t="s">
        <v>27</v>
      </c>
    </row>
    <row r="78" spans="2:8" ht="15" hidden="1">
      <c r="B78" s="2" t="s">
        <v>12</v>
      </c>
      <c r="C78" s="30">
        <v>0</v>
      </c>
      <c r="D78" s="55">
        <v>2</v>
      </c>
      <c r="E78" s="32">
        <v>0</v>
      </c>
      <c r="F78" s="32">
        <v>2</v>
      </c>
      <c r="G78" s="55">
        <v>2</v>
      </c>
      <c r="H78" s="49">
        <v>184841</v>
      </c>
    </row>
    <row r="79" spans="2:8" ht="15" hidden="1">
      <c r="B79" s="2" t="s">
        <v>13</v>
      </c>
      <c r="C79" s="30">
        <v>1</v>
      </c>
      <c r="D79" s="55">
        <v>0</v>
      </c>
      <c r="E79" s="32">
        <v>0</v>
      </c>
      <c r="F79" s="32">
        <v>0</v>
      </c>
      <c r="G79" s="55">
        <v>2</v>
      </c>
      <c r="H79" s="49">
        <v>0</v>
      </c>
    </row>
    <row r="80" spans="2:8" ht="15" hidden="1">
      <c r="B80" s="2" t="s">
        <v>10</v>
      </c>
      <c r="C80" s="30"/>
      <c r="D80" s="55"/>
      <c r="E80" s="32"/>
      <c r="F80" s="32"/>
      <c r="G80" s="55"/>
      <c r="H80" s="49">
        <v>0</v>
      </c>
    </row>
    <row r="81" spans="2:8" ht="15" hidden="1">
      <c r="B81" s="2" t="s">
        <v>28</v>
      </c>
      <c r="C81" s="30"/>
      <c r="D81" s="55"/>
      <c r="E81" s="32"/>
      <c r="F81" s="32"/>
      <c r="G81" s="55"/>
      <c r="H81" s="49">
        <v>0</v>
      </c>
    </row>
    <row r="82" spans="2:8" ht="15" hidden="1">
      <c r="B82" s="2" t="s">
        <v>36</v>
      </c>
      <c r="C82" s="30"/>
      <c r="D82" s="55"/>
      <c r="E82" s="32"/>
      <c r="F82" s="32"/>
      <c r="G82" s="55"/>
      <c r="H82" s="49">
        <v>0</v>
      </c>
    </row>
    <row r="83" spans="2:8" ht="15" hidden="1">
      <c r="B83" s="2" t="s">
        <v>37</v>
      </c>
      <c r="C83" s="30"/>
      <c r="D83" s="55"/>
      <c r="E83" s="32"/>
      <c r="F83" s="32"/>
      <c r="G83" s="55"/>
      <c r="H83" s="49">
        <v>0</v>
      </c>
    </row>
    <row r="84" spans="2:8" ht="15" hidden="1">
      <c r="B84" s="2" t="s">
        <v>39</v>
      </c>
      <c r="C84" s="30"/>
      <c r="D84" s="55"/>
      <c r="E84" s="32"/>
      <c r="F84" s="32"/>
      <c r="G84" s="55"/>
      <c r="H84" s="49">
        <v>0</v>
      </c>
    </row>
    <row r="85" spans="2:8" ht="15" hidden="1">
      <c r="B85" s="2" t="s">
        <v>42</v>
      </c>
      <c r="C85" s="30"/>
      <c r="D85" s="55"/>
      <c r="E85" s="32"/>
      <c r="F85" s="32"/>
      <c r="G85" s="55"/>
      <c r="H85" s="49">
        <v>0</v>
      </c>
    </row>
    <row r="86" spans="2:8" ht="15" hidden="1">
      <c r="B86" s="2" t="s">
        <v>43</v>
      </c>
      <c r="C86" s="30"/>
      <c r="D86" s="55"/>
      <c r="E86" s="32"/>
      <c r="F86" s="32"/>
      <c r="G86" s="55"/>
      <c r="H86" s="49">
        <v>0</v>
      </c>
    </row>
    <row r="87" spans="2:8" ht="19.5" customHeight="1">
      <c r="B87" s="91" t="s">
        <v>12</v>
      </c>
      <c r="C87" s="31">
        <v>0</v>
      </c>
      <c r="D87" s="121">
        <v>0</v>
      </c>
      <c r="E87" s="32">
        <v>0</v>
      </c>
      <c r="F87" s="32">
        <v>0</v>
      </c>
      <c r="G87" s="55">
        <v>2</v>
      </c>
      <c r="H87" s="49">
        <v>0</v>
      </c>
    </row>
    <row r="88" spans="2:8" ht="18.75" customHeight="1">
      <c r="B88" s="91" t="s">
        <v>13</v>
      </c>
      <c r="C88" s="31">
        <v>0</v>
      </c>
      <c r="D88" s="121">
        <v>0</v>
      </c>
      <c r="E88" s="32">
        <v>0</v>
      </c>
      <c r="F88" s="32">
        <v>0</v>
      </c>
      <c r="G88" s="55">
        <v>2</v>
      </c>
      <c r="H88" s="49">
        <v>0</v>
      </c>
    </row>
    <row r="89" spans="2:9" ht="21" customHeight="1">
      <c r="B89" s="91" t="s">
        <v>10</v>
      </c>
      <c r="C89" s="2">
        <v>0</v>
      </c>
      <c r="D89" s="71">
        <v>0</v>
      </c>
      <c r="E89" s="3">
        <v>0</v>
      </c>
      <c r="F89" s="3">
        <v>0</v>
      </c>
      <c r="G89" s="71">
        <v>2</v>
      </c>
      <c r="H89" s="49">
        <v>0</v>
      </c>
      <c r="I89" s="109"/>
    </row>
    <row r="90" spans="2:8" ht="21" customHeight="1">
      <c r="B90" s="91" t="s">
        <v>28</v>
      </c>
      <c r="C90" s="2">
        <v>1</v>
      </c>
      <c r="D90" s="71">
        <v>1</v>
      </c>
      <c r="E90" s="3">
        <v>0</v>
      </c>
      <c r="F90" s="3">
        <v>1</v>
      </c>
      <c r="G90" s="71">
        <v>2</v>
      </c>
      <c r="H90" s="49">
        <v>0</v>
      </c>
    </row>
    <row r="91" spans="2:8" ht="20.25" customHeight="1">
      <c r="B91" s="91" t="s">
        <v>36</v>
      </c>
      <c r="C91" s="2">
        <v>0</v>
      </c>
      <c r="D91" s="71">
        <v>0</v>
      </c>
      <c r="E91" s="3">
        <v>0</v>
      </c>
      <c r="F91" s="3">
        <v>0</v>
      </c>
      <c r="G91" s="71">
        <v>2</v>
      </c>
      <c r="H91" s="49">
        <v>0</v>
      </c>
    </row>
    <row r="92" spans="2:8" ht="21.75" customHeight="1">
      <c r="B92" s="91" t="s">
        <v>37</v>
      </c>
      <c r="C92" s="30">
        <v>0</v>
      </c>
      <c r="D92" s="55">
        <v>0</v>
      </c>
      <c r="E92" s="32">
        <v>0</v>
      </c>
      <c r="F92" s="32">
        <v>0</v>
      </c>
      <c r="G92" s="55">
        <v>2</v>
      </c>
      <c r="H92" s="30">
        <v>0</v>
      </c>
    </row>
    <row r="93" spans="2:8" ht="21.75" customHeight="1">
      <c r="B93" s="91" t="s">
        <v>39</v>
      </c>
      <c r="C93" s="30"/>
      <c r="D93" s="55"/>
      <c r="E93" s="32"/>
      <c r="F93" s="32"/>
      <c r="G93" s="55"/>
      <c r="H93" s="30"/>
    </row>
    <row r="94" spans="2:8" ht="21.75" customHeight="1">
      <c r="B94" s="91" t="s">
        <v>68</v>
      </c>
      <c r="C94" s="30"/>
      <c r="D94" s="55"/>
      <c r="E94" s="32"/>
      <c r="F94" s="32"/>
      <c r="G94" s="55"/>
      <c r="H94" s="30"/>
    </row>
    <row r="95" spans="2:8" ht="21.75" customHeight="1">
      <c r="B95" s="91" t="s">
        <v>43</v>
      </c>
      <c r="C95" s="30"/>
      <c r="D95" s="55"/>
      <c r="E95" s="32"/>
      <c r="F95" s="32"/>
      <c r="G95" s="55"/>
      <c r="H95" s="30"/>
    </row>
    <row r="96" spans="2:8" ht="21.75" customHeight="1">
      <c r="B96" s="91" t="s">
        <v>44</v>
      </c>
      <c r="C96" s="30"/>
      <c r="D96" s="55"/>
      <c r="E96" s="32"/>
      <c r="F96" s="32"/>
      <c r="G96" s="55"/>
      <c r="H96" s="69"/>
    </row>
    <row r="97" spans="2:8" ht="21.75" customHeight="1">
      <c r="B97" s="91" t="s">
        <v>46</v>
      </c>
      <c r="C97" s="30"/>
      <c r="D97" s="55"/>
      <c r="E97" s="32"/>
      <c r="F97" s="32"/>
      <c r="G97" s="55"/>
      <c r="H97" s="69"/>
    </row>
    <row r="98" spans="2:8" ht="22.5" customHeight="1">
      <c r="B98" s="59"/>
      <c r="C98" s="59"/>
      <c r="D98" s="122"/>
      <c r="E98" s="61"/>
      <c r="F98" s="61"/>
      <c r="G98" s="122"/>
      <c r="H98" s="61"/>
    </row>
    <row r="99" spans="2:6" ht="21.75" customHeight="1">
      <c r="B99" s="28" t="s">
        <v>56</v>
      </c>
      <c r="D99" s="135"/>
      <c r="E99" s="135"/>
      <c r="F99" s="135"/>
    </row>
    <row r="100" spans="2:8" ht="30" customHeight="1">
      <c r="B100" s="8" t="s">
        <v>11</v>
      </c>
      <c r="C100" s="7" t="s">
        <v>17</v>
      </c>
      <c r="D100" s="118" t="s">
        <v>29</v>
      </c>
      <c r="E100" s="7" t="s">
        <v>30</v>
      </c>
      <c r="F100" s="7" t="s">
        <v>38</v>
      </c>
      <c r="G100" s="118" t="s">
        <v>94</v>
      </c>
      <c r="H100" s="7" t="s">
        <v>27</v>
      </c>
    </row>
    <row r="101" spans="2:8" ht="21" customHeight="1">
      <c r="B101" s="91" t="s">
        <v>12</v>
      </c>
      <c r="C101" s="30">
        <v>22</v>
      </c>
      <c r="D101" s="55">
        <v>1</v>
      </c>
      <c r="E101" s="32">
        <v>12</v>
      </c>
      <c r="F101" s="32">
        <v>13</v>
      </c>
      <c r="G101" s="55">
        <v>29</v>
      </c>
      <c r="H101" s="49">
        <v>0</v>
      </c>
    </row>
    <row r="102" spans="2:8" ht="21" customHeight="1">
      <c r="B102" s="91" t="s">
        <v>13</v>
      </c>
      <c r="C102" s="30">
        <v>7</v>
      </c>
      <c r="D102" s="55">
        <v>3</v>
      </c>
      <c r="E102" s="32">
        <v>17</v>
      </c>
      <c r="F102" s="32">
        <v>20</v>
      </c>
      <c r="G102" s="55">
        <v>14</v>
      </c>
      <c r="H102" s="49">
        <v>3500</v>
      </c>
    </row>
    <row r="103" spans="2:8" ht="19.5" customHeight="1">
      <c r="B103" s="91" t="s">
        <v>10</v>
      </c>
      <c r="C103" s="30">
        <v>6</v>
      </c>
      <c r="D103" s="55">
        <v>6</v>
      </c>
      <c r="E103" s="32">
        <v>6</v>
      </c>
      <c r="F103" s="32">
        <v>12</v>
      </c>
      <c r="G103" s="55">
        <v>7</v>
      </c>
      <c r="H103" s="49">
        <v>4000</v>
      </c>
    </row>
    <row r="104" spans="2:8" ht="21" customHeight="1">
      <c r="B104" s="91" t="s">
        <v>28</v>
      </c>
      <c r="C104" s="30">
        <v>18</v>
      </c>
      <c r="D104" s="55">
        <v>1</v>
      </c>
      <c r="E104" s="32">
        <v>18</v>
      </c>
      <c r="F104" s="32">
        <v>19</v>
      </c>
      <c r="G104" s="55">
        <v>7</v>
      </c>
      <c r="H104" s="49">
        <v>0</v>
      </c>
    </row>
    <row r="105" spans="2:8" ht="23.25" customHeight="1">
      <c r="B105" s="91" t="s">
        <v>36</v>
      </c>
      <c r="C105" s="30">
        <v>7</v>
      </c>
      <c r="D105" s="55">
        <v>2</v>
      </c>
      <c r="E105" s="32">
        <v>8</v>
      </c>
      <c r="F105" s="32">
        <v>10</v>
      </c>
      <c r="G105" s="55">
        <v>4</v>
      </c>
      <c r="H105" s="49">
        <v>330</v>
      </c>
    </row>
    <row r="106" spans="2:8" ht="22.5" customHeight="1">
      <c r="B106" s="91" t="s">
        <v>37</v>
      </c>
      <c r="C106" s="30">
        <v>11</v>
      </c>
      <c r="D106" s="55">
        <v>0</v>
      </c>
      <c r="E106" s="32">
        <v>11</v>
      </c>
      <c r="F106" s="32">
        <v>11</v>
      </c>
      <c r="G106" s="55">
        <v>4</v>
      </c>
      <c r="H106" s="30">
        <v>0</v>
      </c>
    </row>
    <row r="107" spans="2:8" ht="22.5" customHeight="1">
      <c r="B107" s="91" t="s">
        <v>39</v>
      </c>
      <c r="C107" s="30"/>
      <c r="D107" s="55"/>
      <c r="E107" s="32"/>
      <c r="F107" s="32"/>
      <c r="G107" s="55"/>
      <c r="H107" s="30"/>
    </row>
    <row r="108" spans="2:8" ht="18.75" customHeight="1">
      <c r="B108" s="91" t="s">
        <v>42</v>
      </c>
      <c r="C108" s="30"/>
      <c r="D108" s="55"/>
      <c r="E108" s="32"/>
      <c r="F108" s="32"/>
      <c r="G108" s="55"/>
      <c r="H108" s="30"/>
    </row>
    <row r="109" spans="2:8" ht="18.75" customHeight="1">
      <c r="B109" s="91" t="s">
        <v>43</v>
      </c>
      <c r="C109" s="30"/>
      <c r="D109" s="55"/>
      <c r="E109" s="32"/>
      <c r="F109" s="32"/>
      <c r="G109" s="55"/>
      <c r="H109" s="30"/>
    </row>
    <row r="110" spans="2:8" ht="21.75" customHeight="1">
      <c r="B110" s="91" t="s">
        <v>44</v>
      </c>
      <c r="C110" s="30"/>
      <c r="D110" s="55"/>
      <c r="E110" s="32"/>
      <c r="F110" s="32"/>
      <c r="G110" s="55"/>
      <c r="H110" s="69"/>
    </row>
    <row r="111" spans="2:8" ht="21.75" customHeight="1">
      <c r="B111" s="91" t="s">
        <v>46</v>
      </c>
      <c r="C111" s="30"/>
      <c r="D111" s="55"/>
      <c r="E111" s="32"/>
      <c r="F111" s="32"/>
      <c r="G111" s="55"/>
      <c r="H111" s="69"/>
    </row>
    <row r="112" ht="19.5" customHeight="1"/>
    <row r="113" spans="2:8" ht="29.25" customHeight="1">
      <c r="B113" s="42" t="s">
        <v>48</v>
      </c>
      <c r="C113" s="43">
        <f aca="true" t="shared" si="0" ref="C113:H113">+C101+C87+C55+C31+C7</f>
        <v>2351</v>
      </c>
      <c r="D113" s="123">
        <f t="shared" si="0"/>
        <v>460</v>
      </c>
      <c r="E113" s="43">
        <f t="shared" si="0"/>
        <v>2350</v>
      </c>
      <c r="F113" s="43">
        <f t="shared" si="0"/>
        <v>2812</v>
      </c>
      <c r="G113" s="123">
        <f t="shared" si="0"/>
        <v>3667</v>
      </c>
      <c r="H113" s="43">
        <f t="shared" si="0"/>
        <v>4906844</v>
      </c>
    </row>
    <row r="115" spans="2:8" ht="27" customHeight="1">
      <c r="B115" s="42" t="s">
        <v>50</v>
      </c>
      <c r="C115" s="43">
        <f aca="true" t="shared" si="1" ref="C115:H115">+C102+C88+C65+C32+C8</f>
        <v>2272</v>
      </c>
      <c r="D115" s="123">
        <f t="shared" si="1"/>
        <v>807</v>
      </c>
      <c r="E115" s="43">
        <f t="shared" si="1"/>
        <v>2579</v>
      </c>
      <c r="F115" s="43">
        <f t="shared" si="1"/>
        <v>3386</v>
      </c>
      <c r="G115" s="123">
        <f t="shared" si="1"/>
        <v>2541</v>
      </c>
      <c r="H115" s="43">
        <f t="shared" si="1"/>
        <v>6993592</v>
      </c>
    </row>
    <row r="117" spans="2:8" ht="31.5" customHeight="1">
      <c r="B117" s="62" t="s">
        <v>57</v>
      </c>
      <c r="C117" s="63">
        <f aca="true" t="shared" si="2" ref="C117:H117">+C103+C89+C66+C43+C19</f>
        <v>2135</v>
      </c>
      <c r="D117" s="124">
        <f t="shared" si="2"/>
        <v>720</v>
      </c>
      <c r="E117" s="63">
        <f t="shared" si="2"/>
        <v>2148</v>
      </c>
      <c r="F117" s="63">
        <f t="shared" si="2"/>
        <v>2868</v>
      </c>
      <c r="G117" s="124">
        <f t="shared" si="2"/>
        <v>1872</v>
      </c>
      <c r="H117" s="63">
        <f t="shared" si="2"/>
        <v>13171314</v>
      </c>
    </row>
    <row r="119" spans="2:8" ht="25.5" customHeight="1">
      <c r="B119" s="64" t="s">
        <v>58</v>
      </c>
      <c r="C119" s="65">
        <f aca="true" t="shared" si="3" ref="C119:H119">+C104+C90+C67+C44+C20</f>
        <v>1992</v>
      </c>
      <c r="D119" s="125">
        <f t="shared" si="3"/>
        <v>757</v>
      </c>
      <c r="E119" s="66">
        <f t="shared" si="3"/>
        <v>1967</v>
      </c>
      <c r="F119" s="66">
        <f t="shared" si="3"/>
        <v>2724</v>
      </c>
      <c r="G119" s="125">
        <f t="shared" si="3"/>
        <v>1171</v>
      </c>
      <c r="H119" s="67">
        <f t="shared" si="3"/>
        <v>20510313</v>
      </c>
    </row>
    <row r="121" spans="2:8" ht="26.25" customHeight="1">
      <c r="B121" s="62" t="s">
        <v>59</v>
      </c>
      <c r="C121" s="65">
        <f aca="true" t="shared" si="4" ref="C121:H121">+C105+C91+C68+C45+C21</f>
        <v>2120</v>
      </c>
      <c r="D121" s="125">
        <f t="shared" si="4"/>
        <v>512</v>
      </c>
      <c r="E121" s="66">
        <f t="shared" si="4"/>
        <v>1514</v>
      </c>
      <c r="F121" s="66">
        <f t="shared" si="4"/>
        <v>2026</v>
      </c>
      <c r="G121" s="125">
        <f t="shared" si="4"/>
        <v>1277</v>
      </c>
      <c r="H121" s="67">
        <f t="shared" si="4"/>
        <v>4399940</v>
      </c>
    </row>
    <row r="123" spans="2:8" ht="22.5" customHeight="1">
      <c r="B123" s="62" t="s">
        <v>62</v>
      </c>
      <c r="C123" s="65">
        <f aca="true" t="shared" si="5" ref="C123:H123">+C106+C92+C69+C46+C22</f>
        <v>2799</v>
      </c>
      <c r="D123" s="125">
        <f t="shared" si="5"/>
        <v>573</v>
      </c>
      <c r="E123" s="65">
        <f t="shared" si="5"/>
        <v>2061</v>
      </c>
      <c r="F123" s="65">
        <f t="shared" si="5"/>
        <v>2634</v>
      </c>
      <c r="G123" s="125">
        <f t="shared" si="5"/>
        <v>1563</v>
      </c>
      <c r="H123" s="65">
        <f t="shared" si="5"/>
        <v>4617680</v>
      </c>
    </row>
    <row r="125" spans="2:8" ht="23.25" customHeight="1">
      <c r="B125" s="62" t="s">
        <v>66</v>
      </c>
      <c r="C125" s="65">
        <f>+C108+C94+C71+C48+C24</f>
        <v>0</v>
      </c>
      <c r="D125" s="126">
        <f>+D107+D93+D70+D47+D23</f>
        <v>0</v>
      </c>
      <c r="E125" s="76">
        <f>+E107+E93+E70+E47+E23</f>
        <v>0</v>
      </c>
      <c r="F125" s="76">
        <f>+F107+F93+F70+F47+F23</f>
        <v>0</v>
      </c>
      <c r="G125" s="126"/>
      <c r="H125" s="77">
        <f>+H107+H93+H70+H47+H23</f>
        <v>0</v>
      </c>
    </row>
    <row r="127" spans="2:8" ht="24" customHeight="1">
      <c r="B127" s="62" t="s">
        <v>42</v>
      </c>
      <c r="C127" s="64">
        <f>+C24+C48+C71+C94+C108</f>
        <v>0</v>
      </c>
      <c r="D127" s="127">
        <f>+D24+D48+D71+D94+D108</f>
        <v>0</v>
      </c>
      <c r="E127" s="94">
        <f>+E24+E48+E71+E94+E108</f>
        <v>0</v>
      </c>
      <c r="F127" s="94">
        <f>+F24+F48+F71+F94+F108</f>
        <v>0</v>
      </c>
      <c r="G127" s="127">
        <f>+G125+C127-F127</f>
        <v>0</v>
      </c>
      <c r="H127" s="94">
        <f>+H24+H48+H71</f>
        <v>0</v>
      </c>
    </row>
    <row r="129" spans="2:8" ht="27" customHeight="1">
      <c r="B129" s="62" t="s">
        <v>43</v>
      </c>
      <c r="C129" s="64">
        <f aca="true" t="shared" si="6" ref="C129:H129">+C109+C95+C72+C49+C25</f>
        <v>0</v>
      </c>
      <c r="D129" s="127">
        <f t="shared" si="6"/>
        <v>0</v>
      </c>
      <c r="E129" s="94">
        <f t="shared" si="6"/>
        <v>0</v>
      </c>
      <c r="F129" s="94">
        <f t="shared" si="6"/>
        <v>0</v>
      </c>
      <c r="G129" s="127">
        <f t="shared" si="6"/>
        <v>0</v>
      </c>
      <c r="H129" s="94">
        <f t="shared" si="6"/>
        <v>0</v>
      </c>
    </row>
    <row r="131" spans="2:8" ht="26.25" customHeight="1">
      <c r="B131" s="62" t="s">
        <v>44</v>
      </c>
      <c r="C131" s="94">
        <f aca="true" t="shared" si="7" ref="C131:H131">+C110+C96+C73+C50+C26</f>
        <v>0</v>
      </c>
      <c r="D131" s="127">
        <f t="shared" si="7"/>
        <v>0</v>
      </c>
      <c r="E131" s="94">
        <f t="shared" si="7"/>
        <v>0</v>
      </c>
      <c r="F131" s="94">
        <f t="shared" si="7"/>
        <v>0</v>
      </c>
      <c r="G131" s="127">
        <f t="shared" si="7"/>
        <v>0</v>
      </c>
      <c r="H131" s="94">
        <f t="shared" si="7"/>
        <v>0</v>
      </c>
    </row>
    <row r="133" spans="2:8" ht="27.75" customHeight="1">
      <c r="B133" s="62" t="s">
        <v>46</v>
      </c>
      <c r="C133" s="94">
        <f aca="true" t="shared" si="8" ref="C133:H133">+C111+C97+C74+C51+C27</f>
        <v>0</v>
      </c>
      <c r="D133" s="127">
        <f t="shared" si="8"/>
        <v>0</v>
      </c>
      <c r="E133" s="94">
        <f t="shared" si="8"/>
        <v>0</v>
      </c>
      <c r="F133" s="94">
        <f t="shared" si="8"/>
        <v>0</v>
      </c>
      <c r="G133" s="127">
        <f t="shared" si="8"/>
        <v>0</v>
      </c>
      <c r="H133" s="94">
        <f t="shared" si="8"/>
        <v>0</v>
      </c>
    </row>
  </sheetData>
  <sheetProtection/>
  <mergeCells count="7">
    <mergeCell ref="D99:F99"/>
    <mergeCell ref="D5:F5"/>
    <mergeCell ref="B2:G2"/>
    <mergeCell ref="B3:G3"/>
    <mergeCell ref="D29:F29"/>
    <mergeCell ref="D53:F53"/>
    <mergeCell ref="D76:F7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0"/>
  <sheetViews>
    <sheetView zoomScalePageLayoutView="0" workbookViewId="0" topLeftCell="A7">
      <selection activeCell="G32" sqref="G32"/>
    </sheetView>
  </sheetViews>
  <sheetFormatPr defaultColWidth="11.421875" defaultRowHeight="15"/>
  <cols>
    <col min="1" max="1" width="14.28125" style="0" customWidth="1"/>
    <col min="2" max="2" width="21.421875" style="0" customWidth="1"/>
    <col min="3" max="3" width="19.57421875" style="0" customWidth="1"/>
    <col min="4" max="4" width="8.140625" style="0" customWidth="1"/>
    <col min="5" max="5" width="6.00390625" style="0" customWidth="1"/>
  </cols>
  <sheetData>
    <row r="2" spans="2:3" ht="15">
      <c r="B2" s="135"/>
      <c r="C2" s="135"/>
    </row>
    <row r="5" spans="2:3" ht="15">
      <c r="B5" t="s">
        <v>7</v>
      </c>
      <c r="C5" s="113" t="s">
        <v>5</v>
      </c>
    </row>
    <row r="6" spans="2:3" ht="15">
      <c r="B6" t="s">
        <v>82</v>
      </c>
      <c r="C6" s="129">
        <f>158-109</f>
        <v>49</v>
      </c>
    </row>
    <row r="7" spans="2:3" ht="15">
      <c r="B7" t="s">
        <v>74</v>
      </c>
      <c r="C7">
        <v>137</v>
      </c>
    </row>
    <row r="8" spans="2:4" ht="15">
      <c r="B8" s="44" t="s">
        <v>31</v>
      </c>
      <c r="C8" s="44">
        <v>144</v>
      </c>
      <c r="D8" s="59"/>
    </row>
    <row r="9" spans="2:4" ht="15">
      <c r="B9" s="57" t="s">
        <v>40</v>
      </c>
      <c r="C9" s="57">
        <v>13</v>
      </c>
      <c r="D9" s="59"/>
    </row>
    <row r="10" spans="2:4" ht="15">
      <c r="B10" s="57" t="s">
        <v>52</v>
      </c>
      <c r="C10" s="57">
        <v>109</v>
      </c>
      <c r="D10" s="59"/>
    </row>
    <row r="11" spans="2:4" ht="15">
      <c r="B11" s="57" t="s">
        <v>78</v>
      </c>
      <c r="C11" s="57">
        <v>49</v>
      </c>
      <c r="D11" s="59"/>
    </row>
    <row r="12" spans="2:4" ht="15">
      <c r="B12" s="57" t="s">
        <v>61</v>
      </c>
      <c r="C12" s="57">
        <v>21</v>
      </c>
      <c r="D12" s="59"/>
    </row>
    <row r="13" spans="2:4" ht="15">
      <c r="B13" s="57" t="s">
        <v>0</v>
      </c>
      <c r="C13" s="57">
        <v>142</v>
      </c>
      <c r="D13" s="57"/>
    </row>
    <row r="14" spans="2:4" ht="15">
      <c r="B14" s="57" t="s">
        <v>76</v>
      </c>
      <c r="C14" s="57">
        <v>124</v>
      </c>
      <c r="D14" s="57"/>
    </row>
    <row r="15" spans="2:4" ht="15.75" customHeight="1">
      <c r="B15" s="57" t="s">
        <v>1</v>
      </c>
      <c r="C15" s="57">
        <v>61</v>
      </c>
      <c r="D15" s="57"/>
    </row>
    <row r="16" spans="2:4" ht="15">
      <c r="B16" s="57" t="s">
        <v>2</v>
      </c>
      <c r="C16" s="57">
        <v>111</v>
      </c>
      <c r="D16" s="57"/>
    </row>
    <row r="17" spans="2:4" ht="15">
      <c r="B17" s="57" t="s">
        <v>3</v>
      </c>
      <c r="C17" s="57">
        <v>102</v>
      </c>
      <c r="D17" s="59"/>
    </row>
    <row r="18" spans="2:4" ht="15">
      <c r="B18" s="59" t="s">
        <v>4</v>
      </c>
      <c r="C18" s="57">
        <v>114</v>
      </c>
      <c r="D18" s="59"/>
    </row>
    <row r="19" spans="2:4" ht="15">
      <c r="B19" s="57" t="s">
        <v>73</v>
      </c>
      <c r="C19" s="57">
        <v>131</v>
      </c>
      <c r="D19" s="59"/>
    </row>
    <row r="20" spans="2:4" ht="15">
      <c r="B20" t="s">
        <v>51</v>
      </c>
      <c r="C20" s="57">
        <v>85</v>
      </c>
      <c r="D20" s="59"/>
    </row>
    <row r="21" spans="2:3" ht="15">
      <c r="B21" t="s">
        <v>41</v>
      </c>
      <c r="C21" s="57">
        <v>8</v>
      </c>
    </row>
    <row r="22" spans="2:4" ht="21.75" customHeight="1">
      <c r="B22" s="35" t="s">
        <v>6</v>
      </c>
      <c r="C22" s="36">
        <f>SUM(C6:C21)</f>
        <v>1400</v>
      </c>
      <c r="D22" s="58"/>
    </row>
    <row r="23" spans="3:4" ht="15">
      <c r="C23" s="1"/>
      <c r="D23" s="58"/>
    </row>
    <row r="24" spans="2:6" ht="15">
      <c r="B24" s="58"/>
      <c r="C24" s="90"/>
      <c r="D24" s="89"/>
      <c r="E24" s="34"/>
      <c r="F24" s="34"/>
    </row>
    <row r="25" spans="3:6" ht="15">
      <c r="C25" s="34"/>
      <c r="D25" s="34"/>
      <c r="E25" s="34"/>
      <c r="F25" s="34"/>
    </row>
    <row r="26" spans="2:6" ht="27.75" customHeight="1">
      <c r="B26" s="130" t="s">
        <v>69</v>
      </c>
      <c r="C26" s="131">
        <v>11</v>
      </c>
      <c r="D26" s="100"/>
      <c r="F26" s="34"/>
    </row>
    <row r="27" spans="2:6" ht="24.75" customHeight="1">
      <c r="B27" s="95" t="s">
        <v>38</v>
      </c>
      <c r="C27" s="112">
        <v>1392</v>
      </c>
      <c r="D27" s="100"/>
      <c r="F27" s="34"/>
    </row>
    <row r="28" spans="2:6" ht="29.25" customHeight="1">
      <c r="B28" s="95" t="s">
        <v>70</v>
      </c>
      <c r="C28" s="84">
        <f>+C27/C26</f>
        <v>126.54545454545455</v>
      </c>
      <c r="D28" s="101"/>
      <c r="F28" s="34"/>
    </row>
    <row r="29" ht="15">
      <c r="F29" s="34"/>
    </row>
    <row r="30" ht="15">
      <c r="F30" s="34"/>
    </row>
    <row r="31" spans="2:3" ht="15">
      <c r="B31" s="62" t="s">
        <v>8</v>
      </c>
      <c r="C31" s="62" t="s">
        <v>7</v>
      </c>
    </row>
    <row r="32" spans="2:3" ht="24.75" customHeight="1">
      <c r="B32" s="2" t="s">
        <v>84</v>
      </c>
      <c r="C32" s="2" t="s">
        <v>83</v>
      </c>
    </row>
    <row r="33" spans="2:3" ht="24.75" customHeight="1">
      <c r="B33" s="2" t="s">
        <v>85</v>
      </c>
      <c r="C33" s="2" t="s">
        <v>86</v>
      </c>
    </row>
    <row r="34" spans="2:3" ht="21.75" customHeight="1">
      <c r="B34" s="64" t="s">
        <v>91</v>
      </c>
      <c r="C34" s="64" t="s">
        <v>75</v>
      </c>
    </row>
    <row r="35" spans="2:3" ht="27" customHeight="1">
      <c r="B35" s="64" t="s">
        <v>92</v>
      </c>
      <c r="C35" s="64" t="s">
        <v>61</v>
      </c>
    </row>
    <row r="36" spans="2:3" ht="15">
      <c r="B36" s="114"/>
      <c r="C36" s="114"/>
    </row>
    <row r="37" spans="2:3" ht="15">
      <c r="B37" s="114"/>
      <c r="C37" s="114"/>
    </row>
    <row r="50" ht="15">
      <c r="B50" t="s">
        <v>8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5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" width="3.8515625" style="0" customWidth="1"/>
    <col min="2" max="2" width="18.57421875" style="0" customWidth="1"/>
    <col min="3" max="3" width="26.57421875" style="0" customWidth="1"/>
    <col min="4" max="4" width="6.28125" style="0" customWidth="1"/>
  </cols>
  <sheetData>
    <row r="3" spans="2:3" ht="15">
      <c r="B3" t="s">
        <v>7</v>
      </c>
      <c r="C3" t="s">
        <v>5</v>
      </c>
    </row>
    <row r="4" spans="2:4" ht="17.25" customHeight="1">
      <c r="B4" s="15"/>
      <c r="C4" s="10"/>
      <c r="D4" s="11"/>
    </row>
    <row r="5" spans="2:4" ht="15.75" customHeight="1">
      <c r="B5" s="15" t="s">
        <v>18</v>
      </c>
      <c r="C5" s="13">
        <v>24</v>
      </c>
      <c r="D5" s="12"/>
    </row>
    <row r="6" spans="2:9" ht="15" customHeight="1">
      <c r="B6" s="15" t="s">
        <v>19</v>
      </c>
      <c r="C6" s="13">
        <v>85</v>
      </c>
      <c r="D6" s="12"/>
      <c r="G6" s="57"/>
      <c r="H6" s="57"/>
      <c r="I6" s="59"/>
    </row>
    <row r="7" spans="2:9" ht="15.75" customHeight="1">
      <c r="B7" s="21" t="s">
        <v>53</v>
      </c>
      <c r="C7" s="22">
        <v>90</v>
      </c>
      <c r="D7" s="60"/>
      <c r="G7" s="44"/>
      <c r="H7" s="44"/>
      <c r="I7" s="59"/>
    </row>
    <row r="8" spans="2:9" ht="15">
      <c r="B8" s="21" t="s">
        <v>20</v>
      </c>
      <c r="C8" s="22">
        <v>130</v>
      </c>
      <c r="D8" s="60"/>
      <c r="G8" s="57"/>
      <c r="H8" s="57"/>
      <c r="I8" s="57"/>
    </row>
    <row r="9" spans="2:9" ht="17.25" customHeight="1">
      <c r="B9" s="21" t="s">
        <v>64</v>
      </c>
      <c r="C9" s="22">
        <v>53</v>
      </c>
      <c r="D9" s="9"/>
      <c r="G9" s="57"/>
      <c r="H9" s="57"/>
      <c r="I9" s="57"/>
    </row>
    <row r="10" spans="2:9" ht="17.25" customHeight="1">
      <c r="B10" s="21" t="s">
        <v>67</v>
      </c>
      <c r="C10" s="22">
        <v>122</v>
      </c>
      <c r="D10" s="9"/>
      <c r="G10" s="57"/>
      <c r="H10" s="57"/>
      <c r="I10" s="57"/>
    </row>
    <row r="11" spans="2:9" ht="17.25" customHeight="1">
      <c r="B11" s="21" t="s">
        <v>41</v>
      </c>
      <c r="C11" s="22">
        <v>5</v>
      </c>
      <c r="D11" s="9"/>
      <c r="G11" s="57"/>
      <c r="H11" s="57"/>
      <c r="I11" s="57"/>
    </row>
    <row r="12" spans="2:9" ht="21" customHeight="1">
      <c r="B12" s="37" t="s">
        <v>21</v>
      </c>
      <c r="C12" s="38">
        <f>SUM(C5:C11)</f>
        <v>509</v>
      </c>
      <c r="D12" s="9"/>
      <c r="G12" s="57"/>
      <c r="H12" s="57"/>
      <c r="I12" s="59"/>
    </row>
    <row r="13" spans="3:9" ht="11.25" customHeight="1">
      <c r="C13" s="10"/>
      <c r="D13" s="9"/>
      <c r="G13" s="59"/>
      <c r="H13" s="57"/>
      <c r="I13" s="59"/>
    </row>
    <row r="14" spans="3:9" ht="15">
      <c r="C14" s="14"/>
      <c r="D14" s="9"/>
      <c r="H14" s="57"/>
      <c r="I14" s="59"/>
    </row>
    <row r="15" spans="2:8" ht="15">
      <c r="B15" s="34"/>
      <c r="C15" s="34"/>
      <c r="D15" s="34"/>
      <c r="H15" s="57"/>
    </row>
    <row r="16" spans="2:8" ht="15">
      <c r="B16" s="34"/>
      <c r="C16" s="34"/>
      <c r="D16" s="34"/>
      <c r="H16" s="57"/>
    </row>
    <row r="17" spans="2:8" ht="21.75" customHeight="1">
      <c r="B17" s="83" t="s">
        <v>69</v>
      </c>
      <c r="C17" s="3">
        <v>6</v>
      </c>
      <c r="D17" s="34"/>
      <c r="G17" s="102"/>
      <c r="H17" s="103"/>
    </row>
    <row r="18" spans="2:8" ht="24" customHeight="1">
      <c r="B18" s="83" t="s">
        <v>38</v>
      </c>
      <c r="C18" s="3">
        <v>504</v>
      </c>
      <c r="D18" s="34"/>
      <c r="G18" s="104"/>
      <c r="H18" s="104"/>
    </row>
    <row r="19" spans="2:8" ht="19.5" customHeight="1">
      <c r="B19" s="83" t="s">
        <v>70</v>
      </c>
      <c r="C19" s="84">
        <f>+C18/C17</f>
        <v>84</v>
      </c>
      <c r="D19" s="34"/>
      <c r="G19" s="104"/>
      <c r="H19" s="104"/>
    </row>
    <row r="20" spans="4:8" ht="15">
      <c r="D20" s="34"/>
      <c r="G20" s="104"/>
      <c r="H20" s="104"/>
    </row>
    <row r="21" ht="15">
      <c r="D21" s="34"/>
    </row>
    <row r="22" spans="2:4" ht="18" customHeight="1">
      <c r="B22" s="132" t="s">
        <v>8</v>
      </c>
      <c r="C22" s="62" t="s">
        <v>7</v>
      </c>
      <c r="D22" s="34"/>
    </row>
    <row r="23" spans="2:4" ht="26.25" customHeight="1">
      <c r="B23" s="95" t="s">
        <v>67</v>
      </c>
      <c r="C23" s="30" t="s">
        <v>87</v>
      </c>
      <c r="D23" s="34"/>
    </row>
    <row r="24" spans="2:3" ht="26.25" customHeight="1">
      <c r="B24" s="95" t="s">
        <v>53</v>
      </c>
      <c r="C24" s="106" t="s">
        <v>91</v>
      </c>
    </row>
    <row r="25" spans="2:3" ht="30.75" customHeight="1">
      <c r="B25" s="64" t="s">
        <v>88</v>
      </c>
      <c r="C25" s="2" t="s">
        <v>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28"/>
  <sheetViews>
    <sheetView zoomScalePageLayoutView="0" workbookViewId="0" topLeftCell="A1">
      <selection activeCell="B29" sqref="B29"/>
    </sheetView>
  </sheetViews>
  <sheetFormatPr defaultColWidth="11.421875" defaultRowHeight="15"/>
  <cols>
    <col min="1" max="1" width="2.421875" style="0" customWidth="1"/>
    <col min="2" max="2" width="18.28125" style="0" customWidth="1"/>
    <col min="3" max="3" width="17.140625" style="0" customWidth="1"/>
    <col min="4" max="4" width="5.140625" style="0" customWidth="1"/>
    <col min="6" max="6" width="8.140625" style="0" customWidth="1"/>
  </cols>
  <sheetData>
    <row r="3" spans="2:3" ht="21" customHeight="1">
      <c r="B3" s="2" t="s">
        <v>7</v>
      </c>
      <c r="C3" s="2" t="s">
        <v>5</v>
      </c>
    </row>
    <row r="4" spans="2:3" ht="15">
      <c r="B4" s="30" t="s">
        <v>54</v>
      </c>
      <c r="C4" s="30">
        <v>93</v>
      </c>
    </row>
    <row r="5" spans="2:3" ht="15">
      <c r="B5" s="30" t="s">
        <v>79</v>
      </c>
      <c r="C5" s="30">
        <v>109</v>
      </c>
    </row>
    <row r="6" spans="2:3" ht="15">
      <c r="B6" s="2" t="s">
        <v>65</v>
      </c>
      <c r="C6" s="2">
        <v>92</v>
      </c>
    </row>
    <row r="7" spans="2:3" ht="15">
      <c r="B7" s="2" t="s">
        <v>22</v>
      </c>
      <c r="C7" s="2">
        <v>106</v>
      </c>
    </row>
    <row r="8" spans="2:3" ht="15">
      <c r="B8" s="2" t="s">
        <v>23</v>
      </c>
      <c r="C8" s="2">
        <v>69</v>
      </c>
    </row>
    <row r="9" spans="2:3" ht="15">
      <c r="B9" s="2" t="s">
        <v>24</v>
      </c>
      <c r="C9" s="2">
        <v>67</v>
      </c>
    </row>
    <row r="10" spans="2:3" ht="15">
      <c r="B10" s="2" t="s">
        <v>55</v>
      </c>
      <c r="C10" s="2">
        <v>28</v>
      </c>
    </row>
    <row r="11" spans="2:3" ht="15">
      <c r="B11" s="2" t="s">
        <v>25</v>
      </c>
      <c r="C11" s="2">
        <v>122</v>
      </c>
    </row>
    <row r="12" spans="2:3" ht="15">
      <c r="B12" s="30" t="s">
        <v>26</v>
      </c>
      <c r="C12" s="30">
        <v>14</v>
      </c>
    </row>
    <row r="13" spans="2:3" ht="15">
      <c r="B13" s="30" t="s">
        <v>41</v>
      </c>
      <c r="C13" s="30">
        <v>14</v>
      </c>
    </row>
    <row r="14" spans="2:3" ht="15">
      <c r="B14" s="35" t="s">
        <v>21</v>
      </c>
      <c r="C14" s="35">
        <f>SUM(C4:C13)</f>
        <v>714</v>
      </c>
    </row>
    <row r="16" spans="2:4" ht="15">
      <c r="B16" s="50" t="s">
        <v>8</v>
      </c>
      <c r="C16" s="50"/>
      <c r="D16" s="50"/>
    </row>
    <row r="17" spans="2:4" ht="15">
      <c r="B17" s="50"/>
      <c r="C17" s="50"/>
      <c r="D17" s="50"/>
    </row>
    <row r="20" ht="15">
      <c r="B20" s="81"/>
    </row>
    <row r="21" spans="2:3" ht="15">
      <c r="B21" s="83" t="s">
        <v>69</v>
      </c>
      <c r="C21" s="3">
        <v>8</v>
      </c>
    </row>
    <row r="22" spans="2:3" ht="15">
      <c r="B22" s="83" t="s">
        <v>38</v>
      </c>
      <c r="C22" s="3">
        <v>700</v>
      </c>
    </row>
    <row r="23" spans="2:3" ht="15">
      <c r="B23" s="83" t="s">
        <v>70</v>
      </c>
      <c r="C23" s="84">
        <f>+C22/C21</f>
        <v>87.5</v>
      </c>
    </row>
    <row r="26" spans="2:3" ht="15">
      <c r="B26" s="62" t="s">
        <v>8</v>
      </c>
      <c r="C26" s="62" t="s">
        <v>7</v>
      </c>
    </row>
    <row r="27" spans="2:3" ht="30.75" customHeight="1">
      <c r="B27" s="111" t="s">
        <v>80</v>
      </c>
      <c r="C27" s="105" t="s">
        <v>90</v>
      </c>
    </row>
    <row r="28" spans="2:3" ht="23.25" customHeight="1">
      <c r="B28" s="111" t="s">
        <v>93</v>
      </c>
      <c r="C28" s="2" t="s">
        <v>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dherrera</dc:creator>
  <cp:keywords/>
  <dc:description/>
  <cp:lastModifiedBy>Dolca Herrera</cp:lastModifiedBy>
  <cp:lastPrinted>2015-09-18T14:29:10Z</cp:lastPrinted>
  <dcterms:created xsi:type="dcterms:W3CDTF">2002-01-12T22:54:21Z</dcterms:created>
  <dcterms:modified xsi:type="dcterms:W3CDTF">2016-07-04T15:42:55Z</dcterms:modified>
  <cp:category/>
  <cp:version/>
  <cp:contentType/>
  <cp:contentStatus/>
</cp:coreProperties>
</file>